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Unemployment\For Web\"/>
    </mc:Choice>
  </mc:AlternateContent>
  <xr:revisionPtr revIDLastSave="0" documentId="8_{9B1D42AA-C8D9-4167-B685-582C5174421D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Graph" sheetId="6" r:id="rId1"/>
    <sheet name="Travis County" sheetId="1" r:id="rId2"/>
    <sheet name="City of Austin" sheetId="2" r:id="rId3"/>
    <sheet name="Austin MSA" sheetId="3" r:id="rId4"/>
    <sheet name="Texas" sheetId="4" r:id="rId5"/>
    <sheet name="USA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5" l="1"/>
  <c r="R28" i="5" s="1"/>
  <c r="R25" i="5"/>
  <c r="R27" i="5" s="1"/>
  <c r="R14" i="5"/>
  <c r="R13" i="5"/>
  <c r="R13" i="4"/>
  <c r="R14" i="4"/>
  <c r="R25" i="4"/>
  <c r="R26" i="4"/>
  <c r="R28" i="4" l="1"/>
  <c r="R27" i="4"/>
  <c r="R26" i="1" l="1"/>
  <c r="Q26" i="1"/>
  <c r="Q28" i="1" s="1"/>
  <c r="R25" i="1"/>
  <c r="Q25" i="1"/>
  <c r="Q27" i="1" s="1"/>
  <c r="R14" i="1"/>
  <c r="Q14" i="1"/>
  <c r="R13" i="1"/>
  <c r="Q13" i="1"/>
  <c r="R26" i="2"/>
  <c r="Q26" i="2"/>
  <c r="Q28" i="2" s="1"/>
  <c r="R25" i="2"/>
  <c r="R27" i="2" s="1"/>
  <c r="Q25" i="2"/>
  <c r="Q27" i="2" s="1"/>
  <c r="R14" i="2"/>
  <c r="Q14" i="2"/>
  <c r="R13" i="2"/>
  <c r="Q13" i="2"/>
  <c r="R26" i="3"/>
  <c r="Q26" i="3"/>
  <c r="Q28" i="3" s="1"/>
  <c r="R25" i="3"/>
  <c r="R27" i="3" s="1"/>
  <c r="Q25" i="3"/>
  <c r="Q27" i="3" s="1"/>
  <c r="R14" i="3"/>
  <c r="Q14" i="3"/>
  <c r="R13" i="3"/>
  <c r="Q13" i="3"/>
  <c r="Q26" i="4"/>
  <c r="Q28" i="4" s="1"/>
  <c r="Q25" i="4"/>
  <c r="Q27" i="4" s="1"/>
  <c r="Q14" i="4"/>
  <c r="Q13" i="4"/>
  <c r="Q25" i="5"/>
  <c r="Q26" i="5"/>
  <c r="Q27" i="5"/>
  <c r="Q28" i="5"/>
  <c r="Q13" i="5"/>
  <c r="Q14" i="5"/>
  <c r="N27" i="5"/>
  <c r="O27" i="5"/>
  <c r="P27" i="5"/>
  <c r="N28" i="5"/>
  <c r="O28" i="5"/>
  <c r="P28" i="5"/>
  <c r="N25" i="5"/>
  <c r="O25" i="5"/>
  <c r="P25" i="5"/>
  <c r="N26" i="5"/>
  <c r="O26" i="5"/>
  <c r="P26" i="5"/>
  <c r="N13" i="5"/>
  <c r="O13" i="5"/>
  <c r="P13" i="5"/>
  <c r="N14" i="5"/>
  <c r="O14" i="5"/>
  <c r="P14" i="5"/>
  <c r="M28" i="3"/>
  <c r="M27" i="3"/>
  <c r="M26" i="1"/>
  <c r="M25" i="1"/>
  <c r="M27" i="1" s="1"/>
  <c r="M14" i="1"/>
  <c r="M13" i="1"/>
  <c r="M26" i="2"/>
  <c r="M25" i="2"/>
  <c r="M14" i="2"/>
  <c r="M13" i="2"/>
  <c r="M14" i="3"/>
  <c r="M26" i="3"/>
  <c r="M25" i="3"/>
  <c r="M13" i="3"/>
  <c r="M26" i="4"/>
  <c r="M25" i="4"/>
  <c r="M14" i="4"/>
  <c r="M13" i="4"/>
  <c r="M25" i="5"/>
  <c r="M26" i="5"/>
  <c r="M14" i="5"/>
  <c r="M13" i="5"/>
  <c r="R27" i="1" l="1"/>
  <c r="R28" i="1"/>
  <c r="R28" i="2"/>
  <c r="R28" i="3"/>
  <c r="M28" i="5"/>
  <c r="M28" i="1"/>
  <c r="M28" i="2"/>
  <c r="M27" i="2"/>
  <c r="M28" i="4"/>
  <c r="M27" i="4"/>
  <c r="M27" i="5"/>
  <c r="B26" i="5"/>
  <c r="C26" i="5"/>
  <c r="D26" i="5"/>
  <c r="E26" i="5"/>
  <c r="F26" i="5"/>
  <c r="G26" i="5"/>
  <c r="H26" i="5"/>
  <c r="I26" i="5"/>
  <c r="J26" i="5"/>
  <c r="K26" i="5"/>
  <c r="B14" i="5"/>
  <c r="C14" i="5"/>
  <c r="D14" i="5"/>
  <c r="E14" i="5"/>
  <c r="F14" i="5"/>
  <c r="G14" i="5"/>
  <c r="H14" i="5"/>
  <c r="I14" i="5"/>
  <c r="J14" i="5"/>
  <c r="K14" i="5"/>
  <c r="L26" i="5"/>
  <c r="L14" i="5"/>
  <c r="G26" i="4"/>
  <c r="H26" i="4"/>
  <c r="I26" i="4"/>
  <c r="J26" i="4"/>
  <c r="K26" i="4"/>
  <c r="G14" i="4"/>
  <c r="H14" i="4"/>
  <c r="I14" i="4"/>
  <c r="J14" i="4"/>
  <c r="K14" i="4"/>
  <c r="L26" i="4"/>
  <c r="L14" i="4"/>
  <c r="E27" i="5"/>
  <c r="F27" i="5"/>
  <c r="B25" i="5"/>
  <c r="B27" i="5" s="1"/>
  <c r="C25" i="5"/>
  <c r="C27" i="5" s="1"/>
  <c r="D25" i="5"/>
  <c r="D27" i="5" s="1"/>
  <c r="E25" i="5"/>
  <c r="F25" i="5"/>
  <c r="G25" i="5"/>
  <c r="G27" i="5" s="1"/>
  <c r="H25" i="5"/>
  <c r="I25" i="5"/>
  <c r="I27" i="5" s="1"/>
  <c r="J25" i="5"/>
  <c r="J27" i="5" s="1"/>
  <c r="K25" i="5"/>
  <c r="K27" i="5" s="1"/>
  <c r="B13" i="5"/>
  <c r="C13" i="5"/>
  <c r="D13" i="5"/>
  <c r="E13" i="5"/>
  <c r="F13" i="5"/>
  <c r="G13" i="5"/>
  <c r="H13" i="5"/>
  <c r="H27" i="5" s="1"/>
  <c r="I13" i="5"/>
  <c r="J13" i="5"/>
  <c r="K13" i="5"/>
  <c r="L25" i="5"/>
  <c r="L27" i="5" s="1"/>
  <c r="L13" i="5"/>
  <c r="D27" i="4"/>
  <c r="E27" i="4"/>
  <c r="B25" i="4"/>
  <c r="B27" i="4" s="1"/>
  <c r="C25" i="4"/>
  <c r="C27" i="4" s="1"/>
  <c r="D25" i="4"/>
  <c r="E25" i="4"/>
  <c r="F25" i="4"/>
  <c r="F27" i="4" s="1"/>
  <c r="G25" i="4"/>
  <c r="H25" i="4"/>
  <c r="H27" i="4" s="1"/>
  <c r="I25" i="4"/>
  <c r="I27" i="4" s="1"/>
  <c r="J25" i="4"/>
  <c r="J27" i="4" s="1"/>
  <c r="K25" i="4"/>
  <c r="K27" i="4" s="1"/>
  <c r="B13" i="4"/>
  <c r="C13" i="4"/>
  <c r="D13" i="4"/>
  <c r="E13" i="4"/>
  <c r="F13" i="4"/>
  <c r="G13" i="4"/>
  <c r="G27" i="4" s="1"/>
  <c r="H13" i="4"/>
  <c r="I13" i="4"/>
  <c r="J13" i="4"/>
  <c r="K13" i="4"/>
  <c r="L13" i="4"/>
  <c r="L15" i="4"/>
  <c r="L25" i="4" s="1"/>
  <c r="L27" i="4" s="1"/>
  <c r="B25" i="3"/>
  <c r="B27" i="3" s="1"/>
  <c r="C25" i="3"/>
  <c r="C27" i="3" s="1"/>
  <c r="D25" i="3"/>
  <c r="E25" i="3"/>
  <c r="F25" i="3"/>
  <c r="G25" i="3"/>
  <c r="H25" i="3"/>
  <c r="I25" i="3"/>
  <c r="J25" i="3"/>
  <c r="J27" i="3" s="1"/>
  <c r="K25" i="3"/>
  <c r="K27" i="3" s="1"/>
  <c r="B13" i="3"/>
  <c r="C13" i="3"/>
  <c r="D13" i="3"/>
  <c r="D27" i="3" s="1"/>
  <c r="E13" i="3"/>
  <c r="F13" i="3"/>
  <c r="G13" i="3"/>
  <c r="H13" i="3"/>
  <c r="H27" i="3" s="1"/>
  <c r="I13" i="3"/>
  <c r="I27" i="3" s="1"/>
  <c r="J13" i="3"/>
  <c r="K13" i="3"/>
  <c r="L25" i="3"/>
  <c r="L27" i="3" s="1"/>
  <c r="L13" i="3"/>
  <c r="D27" i="2"/>
  <c r="E27" i="2"/>
  <c r="B25" i="2"/>
  <c r="B27" i="2" s="1"/>
  <c r="C25" i="2"/>
  <c r="C27" i="2" s="1"/>
  <c r="D25" i="2"/>
  <c r="E25" i="2"/>
  <c r="F25" i="2"/>
  <c r="F27" i="2" s="1"/>
  <c r="G25" i="2"/>
  <c r="H25" i="2"/>
  <c r="H27" i="2" s="1"/>
  <c r="I25" i="2"/>
  <c r="I27" i="2" s="1"/>
  <c r="J25" i="2"/>
  <c r="J27" i="2" s="1"/>
  <c r="K25" i="2"/>
  <c r="K27" i="2" s="1"/>
  <c r="B13" i="2"/>
  <c r="C13" i="2"/>
  <c r="D13" i="2"/>
  <c r="E13" i="2"/>
  <c r="F13" i="2"/>
  <c r="G13" i="2"/>
  <c r="G27" i="2" s="1"/>
  <c r="H13" i="2"/>
  <c r="I13" i="2"/>
  <c r="J13" i="2"/>
  <c r="K13" i="2"/>
  <c r="L25" i="2"/>
  <c r="L13" i="2"/>
  <c r="L27" i="2" s="1"/>
  <c r="B27" i="1"/>
  <c r="C27" i="1"/>
  <c r="D27" i="1"/>
  <c r="J27" i="1"/>
  <c r="K27" i="1"/>
  <c r="L27" i="1"/>
  <c r="B25" i="1"/>
  <c r="C25" i="1"/>
  <c r="D25" i="1"/>
  <c r="E25" i="1"/>
  <c r="E27" i="1" s="1"/>
  <c r="F25" i="1"/>
  <c r="F27" i="1" s="1"/>
  <c r="G25" i="1"/>
  <c r="G27" i="1" s="1"/>
  <c r="H25" i="1"/>
  <c r="H27" i="1" s="1"/>
  <c r="I25" i="1"/>
  <c r="I27" i="1" s="1"/>
  <c r="J25" i="1"/>
  <c r="K25" i="1"/>
  <c r="L25" i="1"/>
  <c r="B13" i="1"/>
  <c r="C13" i="1"/>
  <c r="D13" i="1"/>
  <c r="E13" i="1"/>
  <c r="F13" i="1"/>
  <c r="G13" i="1"/>
  <c r="H13" i="1"/>
  <c r="I13" i="1"/>
  <c r="J13" i="1"/>
  <c r="K13" i="1"/>
  <c r="L13" i="1"/>
  <c r="J26" i="3"/>
  <c r="K26" i="3"/>
  <c r="J14" i="3"/>
  <c r="K14" i="3"/>
  <c r="L26" i="3"/>
  <c r="L14" i="3"/>
  <c r="J26" i="2"/>
  <c r="K26" i="2"/>
  <c r="J14" i="2"/>
  <c r="K14" i="2"/>
  <c r="L26" i="2"/>
  <c r="L14" i="2"/>
  <c r="K26" i="1"/>
  <c r="K14" i="1"/>
  <c r="L14" i="1"/>
  <c r="L26" i="1"/>
  <c r="E27" i="3" l="1"/>
  <c r="G27" i="3"/>
  <c r="F27" i="3"/>
  <c r="L28" i="5"/>
  <c r="L28" i="4"/>
  <c r="L28" i="2"/>
  <c r="L28" i="1"/>
  <c r="L28" i="3" l="1"/>
  <c r="K28" i="3"/>
  <c r="K28" i="2"/>
  <c r="K28" i="1"/>
  <c r="K28" i="4"/>
  <c r="K28" i="5"/>
  <c r="I28" i="5" l="1"/>
  <c r="J28" i="5"/>
  <c r="G28" i="5"/>
  <c r="F28" i="5"/>
  <c r="C28" i="5"/>
  <c r="B28" i="5"/>
  <c r="H28" i="5"/>
  <c r="H28" i="4"/>
  <c r="J28" i="4"/>
  <c r="I28" i="4"/>
  <c r="G28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C14" i="4" s="1"/>
  <c r="B6" i="4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I26" i="3" s="1"/>
  <c r="H18" i="3"/>
  <c r="G18" i="3"/>
  <c r="G26" i="3" s="1"/>
  <c r="F18" i="3"/>
  <c r="F26" i="3" s="1"/>
  <c r="E18" i="3"/>
  <c r="D18" i="3"/>
  <c r="C18" i="3"/>
  <c r="C26" i="3" s="1"/>
  <c r="B18" i="3"/>
  <c r="B26" i="3" s="1"/>
  <c r="J28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I14" i="3" s="1"/>
  <c r="H6" i="3"/>
  <c r="H14" i="3" s="1"/>
  <c r="G6" i="3"/>
  <c r="G14" i="3" s="1"/>
  <c r="F6" i="3"/>
  <c r="F14" i="3" s="1"/>
  <c r="E6" i="3"/>
  <c r="E14" i="3" s="1"/>
  <c r="D6" i="3"/>
  <c r="D14" i="3" s="1"/>
  <c r="C6" i="3"/>
  <c r="C14" i="3" s="1"/>
  <c r="B6" i="3"/>
  <c r="J28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I26" i="2" s="1"/>
  <c r="H18" i="2"/>
  <c r="H26" i="2" s="1"/>
  <c r="G18" i="2"/>
  <c r="F18" i="2"/>
  <c r="F26" i="2" s="1"/>
  <c r="E18" i="2"/>
  <c r="E26" i="2" s="1"/>
  <c r="D18" i="2"/>
  <c r="D26" i="2" s="1"/>
  <c r="C18" i="2"/>
  <c r="B18" i="2"/>
  <c r="B26" i="2" s="1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I14" i="2" s="1"/>
  <c r="H6" i="2"/>
  <c r="H14" i="2" s="1"/>
  <c r="G6" i="2"/>
  <c r="G14" i="2" s="1"/>
  <c r="F6" i="2"/>
  <c r="F14" i="2" s="1"/>
  <c r="E6" i="2"/>
  <c r="E14" i="2" s="1"/>
  <c r="D6" i="2"/>
  <c r="D14" i="2" s="1"/>
  <c r="C6" i="2"/>
  <c r="C14" i="2" s="1"/>
  <c r="B6" i="2"/>
  <c r="B14" i="2" s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E26" i="1" s="1"/>
  <c r="D18" i="1"/>
  <c r="D26" i="1" s="1"/>
  <c r="C18" i="1"/>
  <c r="B18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D14" i="1" s="1"/>
  <c r="C6" i="1"/>
  <c r="C14" i="1" s="1"/>
  <c r="B6" i="1"/>
  <c r="E14" i="1" l="1"/>
  <c r="F26" i="1"/>
  <c r="E26" i="3"/>
  <c r="E14" i="4"/>
  <c r="B26" i="4"/>
  <c r="B28" i="4" s="1"/>
  <c r="F14" i="1"/>
  <c r="G26" i="1"/>
  <c r="G28" i="1" s="1"/>
  <c r="F14" i="4"/>
  <c r="C26" i="4"/>
  <c r="H26" i="1"/>
  <c r="D26" i="4"/>
  <c r="G26" i="2"/>
  <c r="G28" i="2" s="1"/>
  <c r="E26" i="4"/>
  <c r="E28" i="4" s="1"/>
  <c r="B26" i="1"/>
  <c r="C28" i="4"/>
  <c r="D14" i="4"/>
  <c r="G14" i="1"/>
  <c r="H14" i="1"/>
  <c r="I26" i="1"/>
  <c r="I14" i="1"/>
  <c r="I28" i="1" s="1"/>
  <c r="J26" i="1"/>
  <c r="J28" i="1" s="1"/>
  <c r="C28" i="2"/>
  <c r="C26" i="2"/>
  <c r="B14" i="3"/>
  <c r="B28" i="3" s="1"/>
  <c r="I28" i="3"/>
  <c r="F26" i="4"/>
  <c r="F28" i="4" s="1"/>
  <c r="B14" i="1"/>
  <c r="J14" i="1"/>
  <c r="C26" i="1"/>
  <c r="C28" i="1" s="1"/>
  <c r="B14" i="4"/>
  <c r="D26" i="3"/>
  <c r="D28" i="3" s="1"/>
  <c r="H26" i="3"/>
  <c r="H28" i="3" s="1"/>
  <c r="H28" i="1"/>
  <c r="B28" i="1"/>
  <c r="F28" i="1"/>
  <c r="E28" i="1"/>
  <c r="D28" i="1"/>
  <c r="E28" i="5"/>
  <c r="D28" i="4"/>
  <c r="D28" i="5"/>
  <c r="F28" i="3"/>
  <c r="C28" i="3"/>
  <c r="G28" i="3"/>
  <c r="E28" i="3"/>
  <c r="D28" i="2"/>
  <c r="H28" i="2"/>
  <c r="E28" i="2"/>
  <c r="I28" i="2"/>
  <c r="B28" i="2"/>
  <c r="F28" i="2"/>
</calcChain>
</file>

<file path=xl/sharedStrings.xml><?xml version="1.0" encoding="utf-8"?>
<sst xmlns="http://schemas.openxmlformats.org/spreadsheetml/2006/main" count="149" uniqueCount="39">
  <si>
    <t xml:space="preserve">Travis County </t>
  </si>
  <si>
    <t>Population Ages 25-29</t>
  </si>
  <si>
    <t>Population Ages 30-34</t>
  </si>
  <si>
    <t>Population Ages 35-44</t>
  </si>
  <si>
    <t>Population Ages 45-54</t>
  </si>
  <si>
    <t>Population Ages 55-59</t>
  </si>
  <si>
    <t>Population Ages 60-61</t>
  </si>
  <si>
    <t>Population Ages 62-64</t>
  </si>
  <si>
    <t>Total Population Ages 25-64</t>
  </si>
  <si>
    <t># Employed Ages 25-29</t>
  </si>
  <si>
    <t># Employed Ages 30-34</t>
  </si>
  <si>
    <t># Employed Ages 35-44</t>
  </si>
  <si>
    <t># Employed Ages 45-54</t>
  </si>
  <si>
    <t># Employed Ages 55-59</t>
  </si>
  <si>
    <t># Employed Ages 60-61</t>
  </si>
  <si>
    <t># Employed Ages 62-64</t>
  </si>
  <si>
    <t>Total # Employed Ages 25-64</t>
  </si>
  <si>
    <t>% of Population Ages 25-64 that are Employed</t>
  </si>
  <si>
    <t>Population Ages 16-19</t>
  </si>
  <si>
    <t>Population Ages 20-21</t>
  </si>
  <si>
    <t>Population Ages 22-24</t>
  </si>
  <si>
    <t>City of Austin</t>
  </si>
  <si>
    <t># Employed Ages 20-21</t>
  </si>
  <si>
    <t># Employed Ages 22-24</t>
  </si>
  <si>
    <t># Employed Ages 16-19</t>
  </si>
  <si>
    <t>Austin-Round Rock-San Marcos MSA</t>
  </si>
  <si>
    <t>Source: American Community Survey, 1-Year Estimates, Table B23001 - Sex by Age by Employment Status for the Population 16 Years and Over</t>
  </si>
  <si>
    <t>Texas</t>
  </si>
  <si>
    <t>USA</t>
  </si>
  <si>
    <t>Travis County</t>
  </si>
  <si>
    <t>Austin MSA</t>
  </si>
  <si>
    <t>% of Population Ages 16-24 that are Employed</t>
  </si>
  <si>
    <t>Total Population Ages 16-24</t>
  </si>
  <si>
    <t>Total # Employed Ages 16-24</t>
  </si>
  <si>
    <t>Graph:</t>
  </si>
  <si>
    <t>Percent Employed Age 25-64</t>
  </si>
  <si>
    <t>2020*</t>
  </si>
  <si>
    <t>* The US Census Bureau did not release 2020 ACS 1-Year Data. Without the population data from the ACS, labor participation rates were not possible to calculate for 2020.</t>
  </si>
  <si>
    <t>https://data.census.gov/cedsci/table?q=B23001&amp;g=0100000US_0500000US48453_1600000US4805000_0400000US48_310XX00US12420&amp;tid=ACSDT1Y2021.B23001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</si>
</sst>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9" fontId="4" fillId="0" borderId="0" xfId="0" applyNumberFormat="1" applyFont="1"/>
    <xf numFmtId="9" fontId="1" fillId="0" borderId="0" xfId="2" applyFont="1"/>
    <xf numFmtId="3" fontId="0" fillId="0" borderId="0" xfId="0" applyNumberFormat="1"/>
    <xf numFmtId="9" fontId="2" fillId="0" borderId="0" xfId="2" applyFont="1"/>
    <xf numFmtId="9" fontId="0" fillId="0" borderId="0" xfId="0" applyNumberFormat="1"/>
    <xf numFmtId="3" fontId="5" fillId="0" borderId="0" xfId="0" applyNumberFormat="1" applyFont="1"/>
    <xf numFmtId="164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9" fontId="4" fillId="0" borderId="0" xfId="2" applyFont="1"/>
    <xf numFmtId="9" fontId="0" fillId="0" borderId="0" xfId="2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64A2"/>
      <color rgb="FF9BBB59"/>
      <color rgb="FFF79646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Percent Employed, Ages 25-64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Graph!$N$4:$R$4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Graph!$N$5:$R$5</c:f>
              <c:numCache>
                <c:formatCode>0%</c:formatCode>
                <c:ptCount val="5"/>
                <c:pt idx="0">
                  <c:v>0.82192145956012586</c:v>
                </c:pt>
                <c:pt idx="1">
                  <c:v>0.81547263886317034</c:v>
                </c:pt>
                <c:pt idx="2">
                  <c:v>0.83021366945268271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2-4C9B-8C9B-83C9300132EE}"/>
            </c:ext>
          </c:extLst>
        </c:ser>
        <c:ser>
          <c:idx val="1"/>
          <c:order val="1"/>
          <c:tx>
            <c:strRef>
              <c:f>Graph!$A$6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Graph!$N$4:$R$4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Graph!$N$6:$R$6</c:f>
              <c:numCache>
                <c:formatCode>0%</c:formatCode>
                <c:ptCount val="5"/>
                <c:pt idx="0">
                  <c:v>0.81400835620027301</c:v>
                </c:pt>
                <c:pt idx="1">
                  <c:v>0.80772893609606056</c:v>
                </c:pt>
                <c:pt idx="2">
                  <c:v>0.82385615233037224</c:v>
                </c:pt>
                <c:pt idx="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C9B-8C9B-83C9300132EE}"/>
            </c:ext>
          </c:extLst>
        </c:ser>
        <c:ser>
          <c:idx val="2"/>
          <c:order val="2"/>
          <c:tx>
            <c:strRef>
              <c:f>Graph!$A$7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Graph!$N$4:$R$4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Graph!$N$7:$R$7</c:f>
              <c:numCache>
                <c:formatCode>0%</c:formatCode>
                <c:ptCount val="5"/>
                <c:pt idx="0">
                  <c:v>0.79760074236742984</c:v>
                </c:pt>
                <c:pt idx="1">
                  <c:v>0.79394254884639237</c:v>
                </c:pt>
                <c:pt idx="2">
                  <c:v>0.81188569413435441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2-4C9B-8C9B-83C9300132EE}"/>
            </c:ext>
          </c:extLst>
        </c:ser>
        <c:ser>
          <c:idx val="3"/>
          <c:order val="3"/>
          <c:tx>
            <c:strRef>
              <c:f>Graph!$A$8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Graph!$N$4:$R$4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Graph!$N$8:$R$8</c:f>
              <c:numCache>
                <c:formatCode>0%</c:formatCode>
                <c:ptCount val="5"/>
                <c:pt idx="0">
                  <c:v>0.73575969905448524</c:v>
                </c:pt>
                <c:pt idx="1">
                  <c:v>0.73986190419921416</c:v>
                </c:pt>
                <c:pt idx="2">
                  <c:v>0.74829043816732443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D2-4C9B-8C9B-83C9300132EE}"/>
            </c:ext>
          </c:extLst>
        </c:ser>
        <c:ser>
          <c:idx val="4"/>
          <c:order val="4"/>
          <c:tx>
            <c:strRef>
              <c:f>Graph!$A$9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Graph!$N$4:$R$4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Graph!$N$9:$R$9</c:f>
              <c:numCache>
                <c:formatCode>0%</c:formatCode>
                <c:ptCount val="5"/>
                <c:pt idx="0">
                  <c:v>0.74055599970501251</c:v>
                </c:pt>
                <c:pt idx="1">
                  <c:v>0.7468150559906519</c:v>
                </c:pt>
                <c:pt idx="2">
                  <c:v>0.75287866719851848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D2-4C9B-8C9B-83C93001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30664"/>
        <c:axId val="166931056"/>
      </c:lineChart>
      <c:catAx>
        <c:axId val="16693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1056"/>
        <c:crosses val="autoZero"/>
        <c:auto val="1"/>
        <c:lblAlgn val="ctr"/>
        <c:lblOffset val="100"/>
        <c:noMultiLvlLbl val="0"/>
      </c:catAx>
      <c:valAx>
        <c:axId val="16693105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47113</xdr:colOff>
      <xdr:row>17</xdr:row>
      <xdr:rowOff>95044</xdr:rowOff>
    </xdr:from>
    <xdr:to>
      <xdr:col>9</xdr:col>
      <xdr:colOff>122904</xdr:colOff>
      <xdr:row>31</xdr:row>
      <xdr:rowOff>113890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5"/>
  <sheetViews>
    <sheetView tabSelected="1" zoomScale="80" zoomScaleNormal="80" workbookViewId="0">
      <selection activeCell="T14" sqref="T14"/>
    </sheetView>
  </sheetViews>
  <sheetFormatPr defaultRowHeight="14.4" x14ac:dyDescent="0.3"/>
  <cols>
    <col min="1" max="1" width="12.88671875" bestFit="1" customWidth="1"/>
  </cols>
  <sheetData>
    <row r="2" spans="1:18" x14ac:dyDescent="0.3">
      <c r="A2" t="s">
        <v>34</v>
      </c>
      <c r="B2" t="s">
        <v>35</v>
      </c>
    </row>
    <row r="4" spans="1:18" x14ac:dyDescent="0.3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  <c r="Q4" s="5" t="s">
        <v>36</v>
      </c>
      <c r="R4" s="5">
        <v>2021</v>
      </c>
    </row>
    <row r="5" spans="1:18" x14ac:dyDescent="0.3">
      <c r="A5" t="s">
        <v>21</v>
      </c>
      <c r="B5" s="17">
        <v>0.76966850986574686</v>
      </c>
      <c r="C5" s="17">
        <v>0.79328830437197495</v>
      </c>
      <c r="D5" s="17">
        <v>0.79950864651479658</v>
      </c>
      <c r="E5" s="17">
        <v>0.80326462838950485</v>
      </c>
      <c r="F5" s="17">
        <v>0.78790139206465926</v>
      </c>
      <c r="G5" s="17">
        <v>0.76678697283802189</v>
      </c>
      <c r="H5" s="17">
        <v>0.78291441230349768</v>
      </c>
      <c r="I5" s="17">
        <v>0.78760695159734906</v>
      </c>
      <c r="J5" s="17">
        <v>0.7977285428212173</v>
      </c>
      <c r="K5" s="8">
        <v>0.79100685886251809</v>
      </c>
      <c r="L5" s="17">
        <v>0.80928993248585201</v>
      </c>
      <c r="M5" s="17">
        <v>0.83</v>
      </c>
      <c r="N5" s="17">
        <v>0.82192145956012586</v>
      </c>
      <c r="O5" s="17">
        <v>0.81547263886317034</v>
      </c>
      <c r="P5" s="17">
        <v>0.83021366945268271</v>
      </c>
      <c r="R5" s="11">
        <v>0.82</v>
      </c>
    </row>
    <row r="6" spans="1:18" x14ac:dyDescent="0.3">
      <c r="A6" t="s">
        <v>29</v>
      </c>
      <c r="B6" s="17">
        <v>0.76699845843613779</v>
      </c>
      <c r="C6" s="17">
        <v>0.78425319373739311</v>
      </c>
      <c r="D6" s="17">
        <v>0.79530585200399551</v>
      </c>
      <c r="E6" s="17">
        <v>0.79508630581280926</v>
      </c>
      <c r="F6" s="17">
        <v>0.78158176417520031</v>
      </c>
      <c r="G6" s="17">
        <v>0.75933086170404085</v>
      </c>
      <c r="H6" s="17">
        <v>0.76796738110462459</v>
      </c>
      <c r="I6" s="17">
        <v>0.77704490338793653</v>
      </c>
      <c r="J6" s="17">
        <v>0.7921689293141051</v>
      </c>
      <c r="K6" s="8">
        <v>0.78479914814875318</v>
      </c>
      <c r="L6" s="17">
        <v>0.79876481528544696</v>
      </c>
      <c r="M6" s="17">
        <v>0.81</v>
      </c>
      <c r="N6" s="17">
        <v>0.81400835620027301</v>
      </c>
      <c r="O6" s="17">
        <v>0.80772893609606056</v>
      </c>
      <c r="P6" s="17">
        <v>0.82385615233037224</v>
      </c>
      <c r="R6" s="11">
        <v>0.81</v>
      </c>
    </row>
    <row r="7" spans="1:18" x14ac:dyDescent="0.3">
      <c r="A7" t="s">
        <v>30</v>
      </c>
      <c r="B7" s="17">
        <v>0.76408806046966926</v>
      </c>
      <c r="C7" s="17">
        <v>0.77849651605488113</v>
      </c>
      <c r="D7" s="17">
        <v>0.78244161312851546</v>
      </c>
      <c r="E7" s="17">
        <v>0.78834919690989103</v>
      </c>
      <c r="F7" s="17">
        <v>0.78500424627788012</v>
      </c>
      <c r="G7" s="17">
        <v>0.75630484706496504</v>
      </c>
      <c r="H7" s="17">
        <v>0.75927755630108507</v>
      </c>
      <c r="I7" s="17">
        <v>0.76719698950692161</v>
      </c>
      <c r="J7" s="17">
        <v>0.77996752872220854</v>
      </c>
      <c r="K7" s="8">
        <v>0.77301422593529134</v>
      </c>
      <c r="L7" s="17">
        <v>0.78840844404805477</v>
      </c>
      <c r="M7" s="17">
        <v>0.8</v>
      </c>
      <c r="N7" s="17">
        <v>0.79760074236742984</v>
      </c>
      <c r="O7" s="17">
        <v>0.79394254884639237</v>
      </c>
      <c r="P7" s="17">
        <v>0.81188569413435441</v>
      </c>
      <c r="R7" s="11">
        <v>0.8</v>
      </c>
    </row>
    <row r="8" spans="1:18" x14ac:dyDescent="0.3">
      <c r="A8" t="s">
        <v>27</v>
      </c>
      <c r="B8" s="17">
        <v>0.72227130646697879</v>
      </c>
      <c r="C8" s="17">
        <v>0.72295408407550421</v>
      </c>
      <c r="D8" s="17">
        <v>0.72444574458495137</v>
      </c>
      <c r="E8" s="17">
        <v>0.74421782315733886</v>
      </c>
      <c r="F8" s="17">
        <v>0.7216869309999665</v>
      </c>
      <c r="G8" s="17">
        <v>0.72330819047560158</v>
      </c>
      <c r="H8" s="17">
        <v>0.7097303825081176</v>
      </c>
      <c r="I8" s="17">
        <v>0.71356989260482284</v>
      </c>
      <c r="J8" s="17">
        <v>0.72281146547902186</v>
      </c>
      <c r="K8" s="8">
        <v>0.72494179657837132</v>
      </c>
      <c r="L8" s="17">
        <v>0.72793771033966315</v>
      </c>
      <c r="M8" s="17">
        <v>0.73</v>
      </c>
      <c r="N8" s="17">
        <v>0.73575969905448524</v>
      </c>
      <c r="O8" s="17">
        <v>0.73986190419921416</v>
      </c>
      <c r="P8" s="17">
        <v>0.74829043816732443</v>
      </c>
      <c r="R8" s="11">
        <v>0.73</v>
      </c>
    </row>
    <row r="9" spans="1:18" x14ac:dyDescent="0.3">
      <c r="A9" t="s">
        <v>28</v>
      </c>
      <c r="B9" s="17">
        <v>0.73215378520216512</v>
      </c>
      <c r="C9" s="17">
        <v>0.73343925375178387</v>
      </c>
      <c r="D9" s="17">
        <v>0.73366969899515855</v>
      </c>
      <c r="E9" s="17">
        <v>0.7469707386155614</v>
      </c>
      <c r="F9" s="17">
        <v>0.71698912870811904</v>
      </c>
      <c r="G9" s="17">
        <v>0.7164238617658194</v>
      </c>
      <c r="H9" s="17">
        <v>0.70535874482977556</v>
      </c>
      <c r="I9" s="17">
        <v>0.71157291795428934</v>
      </c>
      <c r="J9" s="17">
        <v>0.71602129065778031</v>
      </c>
      <c r="K9" s="8">
        <v>0.72271862988885172</v>
      </c>
      <c r="L9" s="17">
        <v>0.72819648423842276</v>
      </c>
      <c r="M9" s="17">
        <v>0.73</v>
      </c>
      <c r="N9" s="17">
        <v>0.74055599970501251</v>
      </c>
      <c r="O9" s="17">
        <v>0.7468150559906519</v>
      </c>
      <c r="P9" s="17">
        <v>0.75287866719851848</v>
      </c>
      <c r="R9" s="11">
        <v>0.74</v>
      </c>
    </row>
    <row r="10" spans="1:18" x14ac:dyDescent="0.3">
      <c r="B10" s="17"/>
      <c r="C10" s="17"/>
      <c r="D10" s="17"/>
      <c r="E10" s="17"/>
      <c r="F10" s="17"/>
      <c r="G10" s="17"/>
      <c r="H10" s="17"/>
      <c r="I10" s="17"/>
      <c r="J10" s="17"/>
      <c r="K10" s="8"/>
      <c r="L10" s="17"/>
      <c r="M10" s="17"/>
      <c r="N10" s="17"/>
      <c r="O10" s="17"/>
      <c r="P10" s="17"/>
      <c r="R10" s="11"/>
    </row>
    <row r="11" spans="1:18" x14ac:dyDescent="0.3">
      <c r="A11" t="s">
        <v>37</v>
      </c>
      <c r="B11" s="17"/>
      <c r="C11" s="17"/>
      <c r="D11" s="17"/>
      <c r="E11" s="17"/>
      <c r="F11" s="17"/>
      <c r="G11" s="17"/>
      <c r="H11" s="17"/>
      <c r="I11" s="17"/>
      <c r="J11" s="17"/>
      <c r="K11" s="8"/>
      <c r="L11" s="17"/>
      <c r="M11" s="17"/>
      <c r="N11" s="17"/>
      <c r="O11" s="17"/>
      <c r="P11" s="17"/>
      <c r="R11" s="11"/>
    </row>
    <row r="13" spans="1:18" x14ac:dyDescent="0.3">
      <c r="A13" t="s">
        <v>26</v>
      </c>
    </row>
    <row r="15" spans="1:18" x14ac:dyDescent="0.3">
      <c r="A15" t="s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"/>
  <sheetViews>
    <sheetView workbookViewId="0">
      <pane xSplit="1" topLeftCell="D1" activePane="topRight" state="frozen"/>
      <selection pane="topRight" activeCell="S10" sqref="S10"/>
    </sheetView>
  </sheetViews>
  <sheetFormatPr defaultRowHeight="14.4" x14ac:dyDescent="0.3"/>
  <cols>
    <col min="1" max="1" width="28.88671875" customWidth="1"/>
    <col min="2" max="12" width="11.5546875" bestFit="1" customWidth="1"/>
    <col min="13" max="13" width="10.109375" customWidth="1"/>
    <col min="15" max="16" width="11.44140625" bestFit="1" customWidth="1"/>
    <col min="18" max="18" width="11.44140625" bestFit="1" customWidth="1"/>
  </cols>
  <sheetData>
    <row r="1" spans="1:18" ht="15.6" x14ac:dyDescent="0.3">
      <c r="A1" s="1" t="s">
        <v>0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18">
        <v>2020</v>
      </c>
      <c r="R1" s="18">
        <v>2021</v>
      </c>
    </row>
    <row r="2" spans="1:18" x14ac:dyDescent="0.3">
      <c r="A2" s="3"/>
    </row>
    <row r="3" spans="1:18" x14ac:dyDescent="0.3">
      <c r="A3" s="3" t="s">
        <v>18</v>
      </c>
      <c r="B3">
        <v>40486</v>
      </c>
      <c r="C3">
        <v>51125</v>
      </c>
      <c r="D3">
        <v>54524</v>
      </c>
      <c r="E3">
        <v>54497</v>
      </c>
      <c r="F3">
        <v>48967</v>
      </c>
      <c r="G3">
        <v>55351</v>
      </c>
      <c r="H3">
        <v>55244</v>
      </c>
      <c r="I3">
        <v>55872</v>
      </c>
      <c r="J3">
        <v>54617</v>
      </c>
      <c r="K3">
        <v>54154</v>
      </c>
      <c r="L3">
        <v>56334</v>
      </c>
      <c r="M3">
        <v>57687</v>
      </c>
      <c r="N3">
        <v>58857</v>
      </c>
      <c r="O3" s="14">
        <v>62444</v>
      </c>
      <c r="P3" s="14">
        <v>63806</v>
      </c>
      <c r="R3" s="14">
        <v>64179</v>
      </c>
    </row>
    <row r="4" spans="1:18" x14ac:dyDescent="0.3">
      <c r="A4" s="3" t="s">
        <v>19</v>
      </c>
      <c r="B4">
        <v>28538</v>
      </c>
      <c r="C4">
        <v>32904</v>
      </c>
      <c r="D4">
        <v>34430</v>
      </c>
      <c r="E4">
        <v>34871</v>
      </c>
      <c r="F4">
        <v>29852</v>
      </c>
      <c r="G4">
        <v>44243</v>
      </c>
      <c r="H4">
        <v>39456</v>
      </c>
      <c r="I4">
        <v>39793</v>
      </c>
      <c r="J4">
        <v>37935</v>
      </c>
      <c r="K4">
        <v>36349</v>
      </c>
      <c r="L4">
        <v>35856</v>
      </c>
      <c r="M4">
        <v>32366</v>
      </c>
      <c r="N4">
        <v>32705</v>
      </c>
      <c r="O4" s="14">
        <v>33434</v>
      </c>
      <c r="P4" s="14">
        <v>36187</v>
      </c>
      <c r="R4" s="14">
        <v>27249</v>
      </c>
    </row>
    <row r="5" spans="1:18" x14ac:dyDescent="0.3">
      <c r="A5" s="3" t="s">
        <v>20</v>
      </c>
      <c r="B5">
        <v>46563</v>
      </c>
      <c r="C5">
        <v>46307</v>
      </c>
      <c r="D5">
        <v>50524</v>
      </c>
      <c r="E5">
        <v>50537</v>
      </c>
      <c r="F5">
        <v>39385</v>
      </c>
      <c r="G5">
        <v>54798</v>
      </c>
      <c r="H5">
        <v>58358</v>
      </c>
      <c r="I5">
        <v>54582</v>
      </c>
      <c r="J5">
        <v>49413</v>
      </c>
      <c r="K5">
        <v>49298</v>
      </c>
      <c r="L5">
        <v>46435</v>
      </c>
      <c r="M5">
        <v>49798</v>
      </c>
      <c r="N5">
        <v>49364</v>
      </c>
      <c r="O5" s="14">
        <v>49328</v>
      </c>
      <c r="P5" s="14">
        <v>45337</v>
      </c>
      <c r="R5" s="14">
        <v>54134</v>
      </c>
    </row>
    <row r="6" spans="1:18" x14ac:dyDescent="0.3">
      <c r="A6" s="3" t="s">
        <v>1</v>
      </c>
      <c r="B6">
        <f>45797+36810</f>
        <v>82607</v>
      </c>
      <c r="C6">
        <f>46763+35224</f>
        <v>81987</v>
      </c>
      <c r="D6">
        <f>48740+36861</f>
        <v>85601</v>
      </c>
      <c r="E6">
        <f>46435+36092</f>
        <v>82527</v>
      </c>
      <c r="F6">
        <f>61653+56241</f>
        <v>117894</v>
      </c>
      <c r="G6">
        <f>52287+49897</f>
        <v>102184</v>
      </c>
      <c r="H6">
        <f>54270+51318</f>
        <v>105588</v>
      </c>
      <c r="I6">
        <f>56514+52930</f>
        <v>109444</v>
      </c>
      <c r="J6">
        <f>58599+55593</f>
        <v>114192</v>
      </c>
      <c r="K6">
        <v>118367</v>
      </c>
      <c r="L6">
        <v>121973</v>
      </c>
      <c r="M6">
        <v>124251</v>
      </c>
      <c r="N6">
        <v>125928</v>
      </c>
      <c r="O6" s="14">
        <v>126568</v>
      </c>
      <c r="P6" s="14">
        <v>128258</v>
      </c>
      <c r="R6" s="14">
        <v>121625</v>
      </c>
    </row>
    <row r="7" spans="1:18" x14ac:dyDescent="0.3">
      <c r="A7" s="3" t="s">
        <v>2</v>
      </c>
      <c r="B7">
        <f>38914+46687</f>
        <v>85601</v>
      </c>
      <c r="C7">
        <f>39076+48536</f>
        <v>87612</v>
      </c>
      <c r="D7">
        <f>41454+51236</f>
        <v>92690</v>
      </c>
      <c r="E7">
        <f>51737+41105</f>
        <v>92842</v>
      </c>
      <c r="F7">
        <f>52351+61235</f>
        <v>113586</v>
      </c>
      <c r="G7">
        <f>43942+47883</f>
        <v>91825</v>
      </c>
      <c r="H7">
        <f>46208+50062</f>
        <v>96270</v>
      </c>
      <c r="I7">
        <f>52419+48552</f>
        <v>100971</v>
      </c>
      <c r="J7">
        <f>54874+51073</f>
        <v>105947</v>
      </c>
      <c r="K7">
        <v>110083</v>
      </c>
      <c r="L7">
        <v>112821</v>
      </c>
      <c r="M7">
        <v>116764</v>
      </c>
      <c r="N7">
        <v>120334</v>
      </c>
      <c r="O7" s="14">
        <v>123988</v>
      </c>
      <c r="P7" s="14">
        <v>128993</v>
      </c>
      <c r="R7" s="14">
        <v>133427</v>
      </c>
    </row>
    <row r="8" spans="1:18" x14ac:dyDescent="0.3">
      <c r="A8" s="3" t="s">
        <v>3</v>
      </c>
      <c r="B8">
        <f>74448+67001</f>
        <v>141449</v>
      </c>
      <c r="C8">
        <f>79722+70835</f>
        <v>150557</v>
      </c>
      <c r="D8">
        <f>84751+74329</f>
        <v>159080</v>
      </c>
      <c r="E8">
        <f>75683+87761</f>
        <v>163444</v>
      </c>
      <c r="F8">
        <f>71696+85730</f>
        <v>157426</v>
      </c>
      <c r="G8">
        <f>80845+74442</f>
        <v>155287</v>
      </c>
      <c r="H8">
        <f>83991+77285</f>
        <v>161276</v>
      </c>
      <c r="I8">
        <f>87782+80791</f>
        <v>168573</v>
      </c>
      <c r="J8">
        <f>91044+84523</f>
        <v>175567</v>
      </c>
      <c r="K8">
        <v>180890</v>
      </c>
      <c r="L8">
        <v>185564</v>
      </c>
      <c r="M8">
        <v>188479</v>
      </c>
      <c r="N8">
        <v>193600</v>
      </c>
      <c r="O8" s="14">
        <v>199730</v>
      </c>
      <c r="P8" s="14">
        <v>205707</v>
      </c>
      <c r="R8" s="14">
        <v>219432</v>
      </c>
    </row>
    <row r="9" spans="1:18" x14ac:dyDescent="0.3">
      <c r="A9" s="3" t="s">
        <v>4</v>
      </c>
      <c r="B9">
        <f>58361+59530</f>
        <v>117891</v>
      </c>
      <c r="C9">
        <f>61130+63012</f>
        <v>124142</v>
      </c>
      <c r="D9">
        <f>64258+66343</f>
        <v>130601</v>
      </c>
      <c r="E9">
        <f>68922+66158</f>
        <v>135080</v>
      </c>
      <c r="F9">
        <f>66435+62858</f>
        <v>129293</v>
      </c>
      <c r="G9">
        <f>65838+67199</f>
        <v>133037</v>
      </c>
      <c r="H9">
        <f>67661+69023</f>
        <v>136684</v>
      </c>
      <c r="I9">
        <f>69985+68546</f>
        <v>138531</v>
      </c>
      <c r="J9">
        <f>71863+69570</f>
        <v>141433</v>
      </c>
      <c r="K9">
        <v>145962</v>
      </c>
      <c r="L9">
        <v>149948</v>
      </c>
      <c r="M9">
        <v>153395</v>
      </c>
      <c r="N9">
        <v>156855</v>
      </c>
      <c r="O9" s="14">
        <v>159266</v>
      </c>
      <c r="P9" s="14">
        <v>162429</v>
      </c>
      <c r="R9" s="14">
        <v>170914</v>
      </c>
    </row>
    <row r="10" spans="1:18" x14ac:dyDescent="0.3">
      <c r="A10" s="3" t="s">
        <v>5</v>
      </c>
      <c r="B10">
        <f>20997+21524</f>
        <v>42521</v>
      </c>
      <c r="C10">
        <f>24024+23655</f>
        <v>47679</v>
      </c>
      <c r="D10">
        <f>25043+25110</f>
        <v>50153</v>
      </c>
      <c r="E10">
        <f>25016+25260</f>
        <v>50276</v>
      </c>
      <c r="F10">
        <f>25789+24219</f>
        <v>50008</v>
      </c>
      <c r="G10">
        <f>25563+27766</f>
        <v>53329</v>
      </c>
      <c r="H10">
        <f>27550+25659</f>
        <v>53209</v>
      </c>
      <c r="I10">
        <f>29880+30454</f>
        <v>60334</v>
      </c>
      <c r="J10">
        <f>30888+30745</f>
        <v>61633</v>
      </c>
      <c r="K10">
        <v>64278</v>
      </c>
      <c r="L10">
        <v>63329</v>
      </c>
      <c r="M10">
        <v>68186</v>
      </c>
      <c r="N10">
        <v>68639</v>
      </c>
      <c r="O10" s="14">
        <v>70764</v>
      </c>
      <c r="P10" s="14">
        <v>68325</v>
      </c>
      <c r="R10" s="14">
        <v>69563</v>
      </c>
    </row>
    <row r="11" spans="1:18" x14ac:dyDescent="0.3">
      <c r="A11" s="3" t="s">
        <v>6</v>
      </c>
      <c r="B11">
        <f>5839+7108</f>
        <v>12947</v>
      </c>
      <c r="C11">
        <f>7030+5774</f>
        <v>12804</v>
      </c>
      <c r="D11">
        <f>7862+7539</f>
        <v>15401</v>
      </c>
      <c r="E11">
        <f>9071+9257</f>
        <v>18328</v>
      </c>
      <c r="F11">
        <f>8574+8319</f>
        <v>16893</v>
      </c>
      <c r="G11">
        <f>9137+9596</f>
        <v>18733</v>
      </c>
      <c r="H11">
        <f>11434+8356</f>
        <v>19790</v>
      </c>
      <c r="I11">
        <f>10534+10147</f>
        <v>20681</v>
      </c>
      <c r="J11">
        <f>11456+11425</f>
        <v>22881</v>
      </c>
      <c r="K11">
        <v>22371</v>
      </c>
      <c r="L11">
        <v>23212</v>
      </c>
      <c r="M11">
        <v>22703</v>
      </c>
      <c r="N11">
        <v>27584</v>
      </c>
      <c r="O11" s="14">
        <v>26280</v>
      </c>
      <c r="P11" s="14">
        <v>26988</v>
      </c>
      <c r="R11" s="14">
        <v>26956</v>
      </c>
    </row>
    <row r="12" spans="1:18" x14ac:dyDescent="0.3">
      <c r="A12" s="3" t="s">
        <v>7</v>
      </c>
      <c r="B12">
        <f>6515+7367</f>
        <v>13882</v>
      </c>
      <c r="C12">
        <f>8401+7368</f>
        <v>15769</v>
      </c>
      <c r="D12">
        <f>9120+8977</f>
        <v>18097</v>
      </c>
      <c r="E12">
        <f>10590+9911</f>
        <v>20501</v>
      </c>
      <c r="F12">
        <f>10400+10823</f>
        <v>21223</v>
      </c>
      <c r="G12">
        <f>11826+12075</f>
        <v>23901</v>
      </c>
      <c r="H12">
        <f>14028+15260</f>
        <v>29288</v>
      </c>
      <c r="I12">
        <f>12309+14700</f>
        <v>27009</v>
      </c>
      <c r="J12">
        <f>12930+16056</f>
        <v>28986</v>
      </c>
      <c r="K12">
        <v>31406</v>
      </c>
      <c r="L12">
        <v>35681</v>
      </c>
      <c r="M12">
        <v>34058</v>
      </c>
      <c r="N12">
        <v>32270</v>
      </c>
      <c r="O12" s="14">
        <v>33687</v>
      </c>
      <c r="P12" s="14">
        <v>38492</v>
      </c>
      <c r="R12" s="14">
        <v>39202</v>
      </c>
    </row>
    <row r="13" spans="1:18" x14ac:dyDescent="0.3">
      <c r="A13" s="4" t="s">
        <v>32</v>
      </c>
      <c r="B13" s="15">
        <f t="shared" ref="B13:K13" si="0">SUM(B3:B5)</f>
        <v>115587</v>
      </c>
      <c r="C13" s="15">
        <f t="shared" si="0"/>
        <v>130336</v>
      </c>
      <c r="D13" s="15">
        <f t="shared" si="0"/>
        <v>139478</v>
      </c>
      <c r="E13" s="15">
        <f t="shared" si="0"/>
        <v>139905</v>
      </c>
      <c r="F13" s="15">
        <f t="shared" si="0"/>
        <v>118204</v>
      </c>
      <c r="G13" s="15">
        <f t="shared" si="0"/>
        <v>154392</v>
      </c>
      <c r="H13" s="15">
        <f t="shared" si="0"/>
        <v>153058</v>
      </c>
      <c r="I13" s="15">
        <f t="shared" si="0"/>
        <v>150247</v>
      </c>
      <c r="J13" s="15">
        <f t="shared" si="0"/>
        <v>141965</v>
      </c>
      <c r="K13" s="15">
        <f t="shared" si="0"/>
        <v>139801</v>
      </c>
      <c r="L13" s="15">
        <f>SUM(L3:L5)</f>
        <v>138625</v>
      </c>
      <c r="M13" s="15">
        <f>SUM(M3:M5)</f>
        <v>139851</v>
      </c>
      <c r="N13" s="5">
        <v>140926</v>
      </c>
      <c r="O13" s="15">
        <v>145206</v>
      </c>
      <c r="P13" s="15">
        <v>145330</v>
      </c>
      <c r="Q13" s="5">
        <f t="shared" ref="Q13:R13" si="1">SUM(Q3:Q5)</f>
        <v>0</v>
      </c>
      <c r="R13" s="15">
        <f t="shared" si="1"/>
        <v>145562</v>
      </c>
    </row>
    <row r="14" spans="1:18" x14ac:dyDescent="0.3">
      <c r="A14" s="4" t="s">
        <v>8</v>
      </c>
      <c r="B14" s="15">
        <f t="shared" ref="B14:K14" si="2">SUM(B6:B12)</f>
        <v>496898</v>
      </c>
      <c r="C14" s="15">
        <f t="shared" si="2"/>
        <v>520550</v>
      </c>
      <c r="D14" s="15">
        <f t="shared" si="2"/>
        <v>551623</v>
      </c>
      <c r="E14" s="15">
        <f t="shared" si="2"/>
        <v>562998</v>
      </c>
      <c r="F14" s="15">
        <f t="shared" si="2"/>
        <v>606323</v>
      </c>
      <c r="G14" s="15">
        <f t="shared" si="2"/>
        <v>578296</v>
      </c>
      <c r="H14" s="15">
        <f t="shared" si="2"/>
        <v>602105</v>
      </c>
      <c r="I14" s="15">
        <f t="shared" si="2"/>
        <v>625543</v>
      </c>
      <c r="J14" s="15">
        <f t="shared" si="2"/>
        <v>650639</v>
      </c>
      <c r="K14" s="15">
        <f t="shared" si="2"/>
        <v>673357</v>
      </c>
      <c r="L14" s="15">
        <f>SUM(L6:L12)</f>
        <v>692528</v>
      </c>
      <c r="M14" s="15">
        <f>SUM(M6:M12)</f>
        <v>707836</v>
      </c>
      <c r="N14" s="5">
        <v>725210</v>
      </c>
      <c r="O14" s="15">
        <v>740283</v>
      </c>
      <c r="P14" s="15">
        <v>759192</v>
      </c>
      <c r="Q14" s="5">
        <f t="shared" ref="Q14:R14" si="3">SUM(Q6:Q12)</f>
        <v>0</v>
      </c>
      <c r="R14" s="15">
        <f t="shared" si="3"/>
        <v>781119</v>
      </c>
    </row>
    <row r="15" spans="1:18" x14ac:dyDescent="0.3">
      <c r="A15" s="3" t="s">
        <v>24</v>
      </c>
      <c r="B15">
        <v>15361</v>
      </c>
      <c r="C15">
        <v>18516</v>
      </c>
      <c r="D15">
        <v>16438</v>
      </c>
      <c r="E15">
        <v>17559</v>
      </c>
      <c r="F15">
        <v>13263</v>
      </c>
      <c r="G15">
        <v>28684</v>
      </c>
      <c r="H15">
        <v>11135</v>
      </c>
      <c r="I15">
        <v>14058</v>
      </c>
      <c r="J15">
        <v>14185</v>
      </c>
      <c r="K15">
        <v>12437</v>
      </c>
      <c r="L15" s="9">
        <v>14342</v>
      </c>
      <c r="M15" s="9">
        <v>18140</v>
      </c>
      <c r="N15">
        <v>19503</v>
      </c>
      <c r="O15" s="14">
        <v>18846</v>
      </c>
      <c r="P15" s="14">
        <v>19257</v>
      </c>
      <c r="R15" s="14">
        <v>20521</v>
      </c>
    </row>
    <row r="16" spans="1:18" x14ac:dyDescent="0.3">
      <c r="A16" s="3" t="s">
        <v>22</v>
      </c>
      <c r="B16">
        <v>16375</v>
      </c>
      <c r="C16">
        <v>17313</v>
      </c>
      <c r="D16">
        <v>22220</v>
      </c>
      <c r="E16">
        <v>21297</v>
      </c>
      <c r="F16">
        <v>17602</v>
      </c>
      <c r="G16">
        <v>22081</v>
      </c>
      <c r="H16">
        <v>20496</v>
      </c>
      <c r="I16">
        <v>20528</v>
      </c>
      <c r="J16">
        <v>21077</v>
      </c>
      <c r="K16">
        <v>18710</v>
      </c>
      <c r="L16">
        <v>18681</v>
      </c>
      <c r="M16">
        <v>17434</v>
      </c>
      <c r="N16">
        <v>18658</v>
      </c>
      <c r="O16" s="14">
        <v>19504</v>
      </c>
      <c r="P16" s="14">
        <v>20686</v>
      </c>
      <c r="R16" s="14">
        <v>14084</v>
      </c>
    </row>
    <row r="17" spans="1:18" x14ac:dyDescent="0.3">
      <c r="A17" s="3" t="s">
        <v>23</v>
      </c>
      <c r="B17">
        <v>34308</v>
      </c>
      <c r="C17">
        <v>33928</v>
      </c>
      <c r="D17">
        <v>38550</v>
      </c>
      <c r="E17">
        <v>37363</v>
      </c>
      <c r="F17">
        <v>33873</v>
      </c>
      <c r="G17">
        <v>40038</v>
      </c>
      <c r="H17">
        <v>43162</v>
      </c>
      <c r="I17">
        <v>36899</v>
      </c>
      <c r="J17">
        <v>36289</v>
      </c>
      <c r="K17">
        <v>34913</v>
      </c>
      <c r="L17">
        <v>36289</v>
      </c>
      <c r="M17">
        <v>38671</v>
      </c>
      <c r="N17">
        <v>36551</v>
      </c>
      <c r="O17" s="14">
        <v>38203</v>
      </c>
      <c r="P17" s="14">
        <v>33079</v>
      </c>
      <c r="R17" s="14">
        <v>40244</v>
      </c>
    </row>
    <row r="18" spans="1:18" x14ac:dyDescent="0.3">
      <c r="A18" s="3" t="s">
        <v>9</v>
      </c>
      <c r="B18">
        <f>39716+26024</f>
        <v>65740</v>
      </c>
      <c r="C18">
        <f>40785+26492</f>
        <v>67277</v>
      </c>
      <c r="D18">
        <f>28302+43595</f>
        <v>71897</v>
      </c>
      <c r="E18">
        <f>41110+26633</f>
        <v>67743</v>
      </c>
      <c r="F18">
        <f>52253+42847</f>
        <v>95100</v>
      </c>
      <c r="G18">
        <f>36823+45140</f>
        <v>81963</v>
      </c>
      <c r="H18">
        <f>45652+39000</f>
        <v>84652</v>
      </c>
      <c r="I18">
        <f>47784+40938</f>
        <v>88722</v>
      </c>
      <c r="J18">
        <f>51471+45497</f>
        <v>96968</v>
      </c>
      <c r="K18">
        <v>97408</v>
      </c>
      <c r="L18">
        <v>102243</v>
      </c>
      <c r="M18">
        <v>104946</v>
      </c>
      <c r="N18">
        <v>106822</v>
      </c>
      <c r="O18" s="14">
        <v>109053</v>
      </c>
      <c r="P18" s="14">
        <v>113180</v>
      </c>
      <c r="R18" s="14">
        <v>102745</v>
      </c>
    </row>
    <row r="19" spans="1:18" x14ac:dyDescent="0.3">
      <c r="A19" s="3" t="s">
        <v>10</v>
      </c>
      <c r="B19">
        <f>25943+42905</f>
        <v>68848</v>
      </c>
      <c r="C19">
        <f>27790+43572</f>
        <v>71362</v>
      </c>
      <c r="D19">
        <f>46826+27404</f>
        <v>74230</v>
      </c>
      <c r="E19">
        <f>31754+47428</f>
        <v>79182</v>
      </c>
      <c r="F19">
        <f>36740+55035</f>
        <v>91775</v>
      </c>
      <c r="G19">
        <f>41188+29889</f>
        <v>71077</v>
      </c>
      <c r="H19">
        <f>44378+33068</f>
        <v>77446</v>
      </c>
      <c r="I19">
        <f>44937+36587</f>
        <v>81524</v>
      </c>
      <c r="J19">
        <f>49354+37183</f>
        <v>86537</v>
      </c>
      <c r="K19">
        <v>90568</v>
      </c>
      <c r="L19">
        <v>93386</v>
      </c>
      <c r="M19">
        <v>99190</v>
      </c>
      <c r="N19">
        <v>101290</v>
      </c>
      <c r="O19" s="14">
        <v>104707</v>
      </c>
      <c r="P19" s="14">
        <v>110248</v>
      </c>
      <c r="R19" s="14">
        <v>115537</v>
      </c>
    </row>
    <row r="20" spans="1:18" x14ac:dyDescent="0.3">
      <c r="A20" s="3" t="s">
        <v>11</v>
      </c>
      <c r="B20">
        <f>65908+44713</f>
        <v>110621</v>
      </c>
      <c r="C20">
        <f>71814+49763</f>
        <v>121577</v>
      </c>
      <c r="D20">
        <f>53744+76425</f>
        <v>130169</v>
      </c>
      <c r="E20">
        <f>79812+54309</f>
        <v>134121</v>
      </c>
      <c r="F20">
        <f>76395+51871</f>
        <v>128266</v>
      </c>
      <c r="G20">
        <f>52217+70011</f>
        <v>122228</v>
      </c>
      <c r="H20">
        <f>55933+73816</f>
        <v>129749</v>
      </c>
      <c r="I20">
        <f>78887+60392</f>
        <v>139279</v>
      </c>
      <c r="J20">
        <f>82447+60737</f>
        <v>143184</v>
      </c>
      <c r="K20">
        <v>149238</v>
      </c>
      <c r="L20">
        <v>154052</v>
      </c>
      <c r="M20">
        <v>158310</v>
      </c>
      <c r="N20">
        <v>163296</v>
      </c>
      <c r="O20" s="14">
        <v>166465</v>
      </c>
      <c r="P20" s="14">
        <v>172941</v>
      </c>
      <c r="R20" s="14">
        <v>182392</v>
      </c>
    </row>
    <row r="21" spans="1:18" x14ac:dyDescent="0.3">
      <c r="A21" s="3" t="s">
        <v>12</v>
      </c>
      <c r="B21">
        <f>40765+50813</f>
        <v>91578</v>
      </c>
      <c r="C21">
        <f>44765+53708</f>
        <v>98473</v>
      </c>
      <c r="D21">
        <f>58775+47573</f>
        <v>106348</v>
      </c>
      <c r="E21">
        <f>48415+58680</f>
        <v>107095</v>
      </c>
      <c r="F21">
        <f>44618+56520</f>
        <v>101138</v>
      </c>
      <c r="G21">
        <f>55532+46121</f>
        <v>101653</v>
      </c>
      <c r="H21">
        <f>57411+47604</f>
        <v>105015</v>
      </c>
      <c r="I21">
        <f>59943+47103</f>
        <v>107046</v>
      </c>
      <c r="J21">
        <f>59248+52441</f>
        <v>111689</v>
      </c>
      <c r="K21">
        <v>113809</v>
      </c>
      <c r="L21">
        <v>121688</v>
      </c>
      <c r="M21">
        <v>126613</v>
      </c>
      <c r="N21">
        <v>130084</v>
      </c>
      <c r="O21" s="14">
        <v>129313</v>
      </c>
      <c r="P21" s="14">
        <v>136667</v>
      </c>
      <c r="R21" s="14">
        <v>140092</v>
      </c>
    </row>
    <row r="22" spans="1:18" x14ac:dyDescent="0.3">
      <c r="A22" s="3" t="s">
        <v>13</v>
      </c>
      <c r="B22">
        <f>16410+13917</f>
        <v>30327</v>
      </c>
      <c r="C22">
        <f>19357+13627</f>
        <v>32984</v>
      </c>
      <c r="D22">
        <f>16674+19492</f>
        <v>36166</v>
      </c>
      <c r="E22">
        <f>19372+17266</f>
        <v>36638</v>
      </c>
      <c r="F22">
        <f>18461+16959</f>
        <v>35420</v>
      </c>
      <c r="G22">
        <f>18893+19925</f>
        <v>38818</v>
      </c>
      <c r="H22">
        <f>16771+21358</f>
        <v>38129</v>
      </c>
      <c r="I22">
        <f>22496+18932</f>
        <v>41428</v>
      </c>
      <c r="J22">
        <f>24280+21919</f>
        <v>46199</v>
      </c>
      <c r="K22">
        <v>46720</v>
      </c>
      <c r="L22">
        <v>47166</v>
      </c>
      <c r="M22">
        <v>51709</v>
      </c>
      <c r="N22">
        <v>52207</v>
      </c>
      <c r="O22" s="14">
        <v>51156</v>
      </c>
      <c r="P22" s="14">
        <v>49024</v>
      </c>
      <c r="R22" s="14">
        <v>50837</v>
      </c>
    </row>
    <row r="23" spans="1:18" x14ac:dyDescent="0.3">
      <c r="A23" s="3" t="s">
        <v>14</v>
      </c>
      <c r="B23">
        <f>2447+5045</f>
        <v>7492</v>
      </c>
      <c r="C23">
        <f>3814+4135</f>
        <v>7949</v>
      </c>
      <c r="D23">
        <f>5178+4245</f>
        <v>9423</v>
      </c>
      <c r="E23">
        <f>5282+5947</f>
        <v>11229</v>
      </c>
      <c r="F23">
        <f>5019+5964</f>
        <v>10983</v>
      </c>
      <c r="G23">
        <f>5632+4595</f>
        <v>10227</v>
      </c>
      <c r="H23">
        <f>5130+6814</f>
        <v>11944</v>
      </c>
      <c r="I23">
        <f>7684+6275</f>
        <v>13959</v>
      </c>
      <c r="J23">
        <f>7939+6981</f>
        <v>14920</v>
      </c>
      <c r="K23">
        <v>14932</v>
      </c>
      <c r="L23">
        <v>14437</v>
      </c>
      <c r="M23">
        <v>14484</v>
      </c>
      <c r="N23">
        <v>19182</v>
      </c>
      <c r="O23" s="14">
        <v>17028</v>
      </c>
      <c r="P23" s="14">
        <v>20461</v>
      </c>
      <c r="R23" s="14">
        <v>19713</v>
      </c>
    </row>
    <row r="24" spans="1:18" x14ac:dyDescent="0.3">
      <c r="A24" s="3" t="s">
        <v>15</v>
      </c>
      <c r="B24">
        <f>3552+2962</f>
        <v>6514</v>
      </c>
      <c r="C24">
        <f>5417+3204</f>
        <v>8621</v>
      </c>
      <c r="D24">
        <f>4492+5984</f>
        <v>10476</v>
      </c>
      <c r="E24">
        <f>6485+5139</f>
        <v>11624</v>
      </c>
      <c r="F24">
        <f>6066+5143</f>
        <v>11209</v>
      </c>
      <c r="G24">
        <f>5287+7865</f>
        <v>13152</v>
      </c>
      <c r="H24">
        <f>7342+8120</f>
        <v>15462</v>
      </c>
      <c r="I24">
        <f>7610+6507</f>
        <v>14117</v>
      </c>
      <c r="J24">
        <f>7627+8292</f>
        <v>15919</v>
      </c>
      <c r="K24">
        <v>15775</v>
      </c>
      <c r="L24">
        <v>20195</v>
      </c>
      <c r="M24">
        <v>20021</v>
      </c>
      <c r="N24">
        <v>17446</v>
      </c>
      <c r="O24" s="14">
        <v>20226</v>
      </c>
      <c r="P24" s="14">
        <v>22944</v>
      </c>
      <c r="R24" s="14">
        <v>21513</v>
      </c>
    </row>
    <row r="25" spans="1:18" x14ac:dyDescent="0.3">
      <c r="A25" s="4" t="s">
        <v>33</v>
      </c>
      <c r="B25" s="15">
        <f t="shared" ref="B25:K25" si="4">SUM(B15:B17)</f>
        <v>66044</v>
      </c>
      <c r="C25" s="15">
        <f t="shared" si="4"/>
        <v>69757</v>
      </c>
      <c r="D25" s="15">
        <f t="shared" si="4"/>
        <v>77208</v>
      </c>
      <c r="E25" s="15">
        <f t="shared" si="4"/>
        <v>76219</v>
      </c>
      <c r="F25" s="15">
        <f t="shared" si="4"/>
        <v>64738</v>
      </c>
      <c r="G25" s="15">
        <f t="shared" si="4"/>
        <v>90803</v>
      </c>
      <c r="H25" s="15">
        <f t="shared" si="4"/>
        <v>74793</v>
      </c>
      <c r="I25" s="15">
        <f t="shared" si="4"/>
        <v>71485</v>
      </c>
      <c r="J25" s="15">
        <f t="shared" si="4"/>
        <v>71551</v>
      </c>
      <c r="K25" s="15">
        <f t="shared" si="4"/>
        <v>66060</v>
      </c>
      <c r="L25" s="15">
        <f>SUM(L15:L17)</f>
        <v>69312</v>
      </c>
      <c r="M25" s="15">
        <f>SUM(M15:M17)</f>
        <v>74245</v>
      </c>
      <c r="N25" s="5">
        <v>74712</v>
      </c>
      <c r="O25" s="15">
        <v>76553</v>
      </c>
      <c r="P25" s="15">
        <v>73022</v>
      </c>
      <c r="Q25" s="5">
        <f t="shared" ref="Q25:R25" si="5">SUM(Q15:Q17)</f>
        <v>0</v>
      </c>
      <c r="R25" s="15">
        <f t="shared" si="5"/>
        <v>74849</v>
      </c>
    </row>
    <row r="26" spans="1:18" x14ac:dyDescent="0.3">
      <c r="A26" s="4" t="s">
        <v>16</v>
      </c>
      <c r="B26" s="15">
        <f t="shared" ref="B26:K26" si="6">SUM(B18:B24)</f>
        <v>381120</v>
      </c>
      <c r="C26" s="15">
        <f t="shared" si="6"/>
        <v>408243</v>
      </c>
      <c r="D26" s="15">
        <f t="shared" si="6"/>
        <v>438709</v>
      </c>
      <c r="E26" s="15">
        <f t="shared" si="6"/>
        <v>447632</v>
      </c>
      <c r="F26" s="15">
        <f t="shared" si="6"/>
        <v>473891</v>
      </c>
      <c r="G26" s="15">
        <f t="shared" si="6"/>
        <v>439118</v>
      </c>
      <c r="H26" s="15">
        <f t="shared" si="6"/>
        <v>462397</v>
      </c>
      <c r="I26" s="15">
        <f t="shared" si="6"/>
        <v>486075</v>
      </c>
      <c r="J26" s="15">
        <f t="shared" si="6"/>
        <v>515416</v>
      </c>
      <c r="K26" s="15">
        <f t="shared" si="6"/>
        <v>528450</v>
      </c>
      <c r="L26" s="15">
        <f>SUM(L18:L24)</f>
        <v>553167</v>
      </c>
      <c r="M26" s="15">
        <f>SUM(M18:M24)</f>
        <v>575273</v>
      </c>
      <c r="N26" s="5">
        <v>590327</v>
      </c>
      <c r="O26" s="15">
        <v>597948</v>
      </c>
      <c r="P26" s="15">
        <v>625465</v>
      </c>
      <c r="Q26" s="5">
        <f t="shared" ref="Q26:R26" si="7">SUM(Q18:Q24)</f>
        <v>0</v>
      </c>
      <c r="R26" s="15">
        <f t="shared" si="7"/>
        <v>632829</v>
      </c>
    </row>
    <row r="27" spans="1:18" ht="28.8" x14ac:dyDescent="0.3">
      <c r="A27" s="6" t="s">
        <v>31</v>
      </c>
      <c r="B27" s="10">
        <f t="shared" ref="B27:K27" si="8">B25/B13</f>
        <v>0.5713791343317155</v>
      </c>
      <c r="C27" s="10">
        <f t="shared" si="8"/>
        <v>0.53520899828136503</v>
      </c>
      <c r="D27" s="10">
        <f t="shared" si="8"/>
        <v>0.55354966374625392</v>
      </c>
      <c r="E27" s="10">
        <f t="shared" si="8"/>
        <v>0.54479110825202814</v>
      </c>
      <c r="F27" s="10">
        <f t="shared" si="8"/>
        <v>0.54768028154715576</v>
      </c>
      <c r="G27" s="10">
        <f t="shared" si="8"/>
        <v>0.58813280480853936</v>
      </c>
      <c r="H27" s="10">
        <f t="shared" si="8"/>
        <v>0.48865789439297519</v>
      </c>
      <c r="I27" s="10">
        <f t="shared" si="8"/>
        <v>0.47578321031368348</v>
      </c>
      <c r="J27" s="10">
        <f t="shared" si="8"/>
        <v>0.50400450815341813</v>
      </c>
      <c r="K27" s="10">
        <f t="shared" si="8"/>
        <v>0.47252880880680398</v>
      </c>
      <c r="L27" s="10">
        <f>L25/L13</f>
        <v>0.49999639314697925</v>
      </c>
      <c r="M27" s="10">
        <f>M25/M13</f>
        <v>0.53088644342907809</v>
      </c>
      <c r="N27" s="10">
        <v>0.53015057547932953</v>
      </c>
      <c r="O27" s="10">
        <v>0.52720273266944895</v>
      </c>
      <c r="P27" s="10">
        <v>0.50245647835959539</v>
      </c>
      <c r="Q27" s="5" t="e">
        <f t="shared" ref="Q27:R28" si="9">Q25/Q13</f>
        <v>#DIV/0!</v>
      </c>
      <c r="R27" s="10">
        <f t="shared" si="9"/>
        <v>0.51420700457536994</v>
      </c>
    </row>
    <row r="28" spans="1:18" ht="28.8" x14ac:dyDescent="0.3">
      <c r="A28" s="6" t="s">
        <v>17</v>
      </c>
      <c r="B28" s="7">
        <f t="shared" ref="B28:H28" si="10">B26/B14</f>
        <v>0.76699845843613779</v>
      </c>
      <c r="C28" s="7">
        <f t="shared" si="10"/>
        <v>0.78425319373739311</v>
      </c>
      <c r="D28" s="7">
        <f t="shared" si="10"/>
        <v>0.79530585200399551</v>
      </c>
      <c r="E28" s="7">
        <f t="shared" si="10"/>
        <v>0.79508630581280926</v>
      </c>
      <c r="F28" s="7">
        <f t="shared" si="10"/>
        <v>0.78158176417520031</v>
      </c>
      <c r="G28" s="7">
        <f t="shared" si="10"/>
        <v>0.75933086170404085</v>
      </c>
      <c r="H28" s="7">
        <f t="shared" si="10"/>
        <v>0.76796738110462459</v>
      </c>
      <c r="I28" s="7">
        <f>I26/I14</f>
        <v>0.77704490338793653</v>
      </c>
      <c r="J28" s="7">
        <f>J26/J14</f>
        <v>0.7921689293141051</v>
      </c>
      <c r="K28" s="16">
        <f>K26/K14</f>
        <v>0.78479914814875318</v>
      </c>
      <c r="L28" s="16">
        <f>L26/L14</f>
        <v>0.79876481528544696</v>
      </c>
      <c r="M28" s="16">
        <f>M26/M14</f>
        <v>0.81272074322300647</v>
      </c>
      <c r="N28" s="10">
        <v>0.81400835620027301</v>
      </c>
      <c r="O28" s="10">
        <v>0.80772893609606056</v>
      </c>
      <c r="P28" s="10">
        <v>0.82385615233037224</v>
      </c>
      <c r="Q28" s="5" t="e">
        <f t="shared" si="9"/>
        <v>#DIV/0!</v>
      </c>
      <c r="R28" s="10">
        <f t="shared" si="9"/>
        <v>0.81015696712024676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workbookViewId="0">
      <pane xSplit="1" topLeftCell="B1" activePane="topRight" state="frozen"/>
      <selection pane="topRight" activeCell="U11" sqref="U11"/>
    </sheetView>
  </sheetViews>
  <sheetFormatPr defaultRowHeight="14.4" x14ac:dyDescent="0.3"/>
  <cols>
    <col min="1" max="1" width="29.109375" customWidth="1"/>
    <col min="2" max="12" width="11.5546875" bestFit="1" customWidth="1"/>
    <col min="13" max="13" width="11" customWidth="1"/>
    <col min="14" max="16" width="11.44140625" bestFit="1" customWidth="1"/>
    <col min="18" max="18" width="11.44140625" bestFit="1" customWidth="1"/>
  </cols>
  <sheetData>
    <row r="1" spans="1:18" ht="15.6" x14ac:dyDescent="0.3">
      <c r="A1" s="1" t="s">
        <v>21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18">
        <v>2020</v>
      </c>
      <c r="R1" s="18">
        <v>2021</v>
      </c>
    </row>
    <row r="2" spans="1:18" x14ac:dyDescent="0.3">
      <c r="A2" s="3"/>
    </row>
    <row r="3" spans="1:18" x14ac:dyDescent="0.3">
      <c r="A3" s="3" t="s">
        <v>18</v>
      </c>
      <c r="B3">
        <v>31052</v>
      </c>
      <c r="C3">
        <v>38855</v>
      </c>
      <c r="D3">
        <v>42938</v>
      </c>
      <c r="E3">
        <v>43519</v>
      </c>
      <c r="F3">
        <v>39264</v>
      </c>
      <c r="G3">
        <v>43965</v>
      </c>
      <c r="H3">
        <v>44211</v>
      </c>
      <c r="I3">
        <v>42163</v>
      </c>
      <c r="J3">
        <v>44941</v>
      </c>
      <c r="K3">
        <v>40970</v>
      </c>
      <c r="L3">
        <v>42282</v>
      </c>
      <c r="M3">
        <v>44634</v>
      </c>
      <c r="N3" s="14">
        <v>43599</v>
      </c>
      <c r="O3" s="14">
        <v>46389</v>
      </c>
      <c r="P3" s="14">
        <v>46406</v>
      </c>
      <c r="R3" s="14">
        <v>46259</v>
      </c>
    </row>
    <row r="4" spans="1:18" x14ac:dyDescent="0.3">
      <c r="A4" s="3" t="s">
        <v>19</v>
      </c>
      <c r="B4">
        <v>27242</v>
      </c>
      <c r="C4">
        <v>30100</v>
      </c>
      <c r="D4">
        <v>30673</v>
      </c>
      <c r="E4">
        <v>32253</v>
      </c>
      <c r="F4">
        <v>25659</v>
      </c>
      <c r="G4">
        <v>38848</v>
      </c>
      <c r="H4">
        <v>33514</v>
      </c>
      <c r="I4">
        <v>35350</v>
      </c>
      <c r="J4">
        <v>34500</v>
      </c>
      <c r="K4">
        <v>32575</v>
      </c>
      <c r="L4">
        <v>34326</v>
      </c>
      <c r="M4">
        <v>28951</v>
      </c>
      <c r="N4" s="14">
        <v>28845</v>
      </c>
      <c r="O4" s="14">
        <v>28434</v>
      </c>
      <c r="P4" s="14">
        <v>31568</v>
      </c>
      <c r="R4" s="14">
        <v>23620</v>
      </c>
    </row>
    <row r="5" spans="1:18" x14ac:dyDescent="0.3">
      <c r="A5" s="3" t="s">
        <v>20</v>
      </c>
      <c r="B5">
        <v>42045</v>
      </c>
      <c r="C5">
        <v>42015</v>
      </c>
      <c r="D5">
        <v>42810</v>
      </c>
      <c r="E5">
        <v>47460</v>
      </c>
      <c r="F5">
        <v>34935</v>
      </c>
      <c r="G5">
        <v>48535</v>
      </c>
      <c r="H5">
        <v>53947</v>
      </c>
      <c r="I5">
        <v>49815</v>
      </c>
      <c r="J5">
        <v>46754</v>
      </c>
      <c r="K5">
        <v>45398</v>
      </c>
      <c r="L5">
        <v>42150</v>
      </c>
      <c r="M5">
        <v>44286</v>
      </c>
      <c r="N5" s="14">
        <v>43708</v>
      </c>
      <c r="O5" s="14">
        <v>44822</v>
      </c>
      <c r="P5" s="14">
        <v>41728</v>
      </c>
      <c r="R5" s="14">
        <v>44612</v>
      </c>
    </row>
    <row r="6" spans="1:18" x14ac:dyDescent="0.3">
      <c r="A6" s="3" t="s">
        <v>1</v>
      </c>
      <c r="B6">
        <f>31412+38848</f>
        <v>70260</v>
      </c>
      <c r="C6">
        <f>42976+31048</f>
        <v>74024</v>
      </c>
      <c r="D6">
        <f>44613+32395</f>
        <v>77008</v>
      </c>
      <c r="E6">
        <f>40692+32274</f>
        <v>72966</v>
      </c>
      <c r="F6">
        <f>56305+47120</f>
        <v>103425</v>
      </c>
      <c r="G6">
        <f>45968+43475</f>
        <v>89443</v>
      </c>
      <c r="H6">
        <f>48149+44559</f>
        <v>92708</v>
      </c>
      <c r="I6">
        <f>47145+46551</f>
        <v>93696</v>
      </c>
      <c r="J6" s="9">
        <v>99688</v>
      </c>
      <c r="K6">
        <v>105619</v>
      </c>
      <c r="L6">
        <v>112664</v>
      </c>
      <c r="M6">
        <v>113416</v>
      </c>
      <c r="N6" s="14">
        <v>110316</v>
      </c>
      <c r="O6" s="14">
        <v>112755</v>
      </c>
      <c r="P6" s="14">
        <v>112901</v>
      </c>
      <c r="R6" s="14">
        <v>104808</v>
      </c>
    </row>
    <row r="7" spans="1:18" x14ac:dyDescent="0.3">
      <c r="A7" s="3" t="s">
        <v>2</v>
      </c>
      <c r="B7">
        <f>29845+37418</f>
        <v>67263</v>
      </c>
      <c r="C7">
        <f>41249+30679</f>
        <v>71928</v>
      </c>
      <c r="D7">
        <f>43262+33259</f>
        <v>76521</v>
      </c>
      <c r="E7">
        <f>42136+32439</f>
        <v>74575</v>
      </c>
      <c r="F7">
        <f>50703+40698</f>
        <v>91401</v>
      </c>
      <c r="G7">
        <f>37305+35499</f>
        <v>72804</v>
      </c>
      <c r="H7">
        <f>43034+39998</f>
        <v>83032</v>
      </c>
      <c r="I7">
        <f>45333+39953</f>
        <v>85286</v>
      </c>
      <c r="J7" s="9">
        <v>89958</v>
      </c>
      <c r="K7">
        <v>94219</v>
      </c>
      <c r="L7">
        <v>98541</v>
      </c>
      <c r="M7">
        <v>101271</v>
      </c>
      <c r="N7" s="14">
        <v>103744</v>
      </c>
      <c r="O7" s="14">
        <v>106183</v>
      </c>
      <c r="P7" s="14">
        <v>105627</v>
      </c>
      <c r="R7" s="14">
        <v>113274</v>
      </c>
    </row>
    <row r="8" spans="1:18" x14ac:dyDescent="0.3">
      <c r="A8" s="3" t="s">
        <v>3</v>
      </c>
      <c r="B8">
        <f>51386+55643</f>
        <v>107029</v>
      </c>
      <c r="C8">
        <f>62204+52312</f>
        <v>114516</v>
      </c>
      <c r="D8">
        <f>65821+53297</f>
        <v>119118</v>
      </c>
      <c r="E8">
        <f>70843+56712</f>
        <v>127555</v>
      </c>
      <c r="F8">
        <f>65035+52556</f>
        <v>117591</v>
      </c>
      <c r="G8">
        <f>62888+55609</f>
        <v>118497</v>
      </c>
      <c r="H8">
        <f>65756+53732</f>
        <v>119488</v>
      </c>
      <c r="I8">
        <f>69064+62638</f>
        <v>131702</v>
      </c>
      <c r="J8" s="9">
        <v>132626</v>
      </c>
      <c r="K8">
        <v>146541</v>
      </c>
      <c r="L8">
        <v>149369</v>
      </c>
      <c r="M8">
        <v>152132</v>
      </c>
      <c r="N8" s="14">
        <v>152273</v>
      </c>
      <c r="O8" s="14">
        <v>150113</v>
      </c>
      <c r="P8" s="14">
        <v>160953</v>
      </c>
      <c r="R8" s="14">
        <v>167737</v>
      </c>
    </row>
    <row r="9" spans="1:18" x14ac:dyDescent="0.3">
      <c r="A9" s="3" t="s">
        <v>4</v>
      </c>
      <c r="B9">
        <f>43977+47003</f>
        <v>90980</v>
      </c>
      <c r="C9">
        <f>43935+43754</f>
        <v>87689</v>
      </c>
      <c r="D9">
        <f>50129+46804</f>
        <v>96933</v>
      </c>
      <c r="E9">
        <f>50630+49407</f>
        <v>100037</v>
      </c>
      <c r="F9">
        <f>48213+45744</f>
        <v>93957</v>
      </c>
      <c r="G9">
        <f>48357+46381</f>
        <v>94738</v>
      </c>
      <c r="H9">
        <f>47950+51628</f>
        <v>99578</v>
      </c>
      <c r="I9">
        <f>49996+49084</f>
        <v>99080</v>
      </c>
      <c r="J9" s="9">
        <v>107826</v>
      </c>
      <c r="K9">
        <v>108555</v>
      </c>
      <c r="L9">
        <v>108882</v>
      </c>
      <c r="M9">
        <v>112032</v>
      </c>
      <c r="N9" s="14">
        <v>112587</v>
      </c>
      <c r="O9" s="14">
        <v>114500</v>
      </c>
      <c r="P9" s="14">
        <v>118276</v>
      </c>
      <c r="R9" s="14">
        <v>113916</v>
      </c>
    </row>
    <row r="10" spans="1:18" x14ac:dyDescent="0.3">
      <c r="A10" s="3" t="s">
        <v>5</v>
      </c>
      <c r="B10">
        <f>15413+15635</f>
        <v>31048</v>
      </c>
      <c r="C10">
        <f>16897+18114</f>
        <v>35011</v>
      </c>
      <c r="D10">
        <f>16718+17696</f>
        <v>34414</v>
      </c>
      <c r="E10">
        <f>18184+16981</f>
        <v>35165</v>
      </c>
      <c r="F10">
        <f>19192+19223</f>
        <v>38415</v>
      </c>
      <c r="G10">
        <f>19047+20269</f>
        <v>39316</v>
      </c>
      <c r="H10">
        <f>18972+19156</f>
        <v>38128</v>
      </c>
      <c r="I10">
        <f>22243+21400</f>
        <v>43643</v>
      </c>
      <c r="J10" s="9">
        <v>45822</v>
      </c>
      <c r="K10">
        <v>46767</v>
      </c>
      <c r="L10">
        <v>45441</v>
      </c>
      <c r="M10">
        <v>46400</v>
      </c>
      <c r="N10" s="14">
        <v>49993</v>
      </c>
      <c r="O10" s="14">
        <v>53062</v>
      </c>
      <c r="P10" s="14">
        <v>48780</v>
      </c>
      <c r="R10" s="14">
        <v>47160</v>
      </c>
    </row>
    <row r="11" spans="1:18" x14ac:dyDescent="0.3">
      <c r="A11" s="3" t="s">
        <v>6</v>
      </c>
      <c r="B11">
        <f>3745+4966</f>
        <v>8711</v>
      </c>
      <c r="C11">
        <f>3953+5205</f>
        <v>9158</v>
      </c>
      <c r="D11">
        <f>5210+5905</f>
        <v>11115</v>
      </c>
      <c r="E11">
        <f>6556+6079</f>
        <v>12635</v>
      </c>
      <c r="F11">
        <f>5380+7170</f>
        <v>12550</v>
      </c>
      <c r="G11">
        <f>7178+6703</f>
        <v>13881</v>
      </c>
      <c r="H11">
        <f>6997+8671</f>
        <v>15668</v>
      </c>
      <c r="I11">
        <f>7507+6877</f>
        <v>14384</v>
      </c>
      <c r="J11" s="9">
        <v>16584</v>
      </c>
      <c r="K11">
        <v>16501</v>
      </c>
      <c r="L11">
        <v>19389</v>
      </c>
      <c r="M11">
        <v>14760</v>
      </c>
      <c r="N11" s="14">
        <v>17851</v>
      </c>
      <c r="O11" s="14">
        <v>20252</v>
      </c>
      <c r="P11" s="14">
        <v>19475</v>
      </c>
      <c r="R11" s="14">
        <v>19652</v>
      </c>
    </row>
    <row r="12" spans="1:18" x14ac:dyDescent="0.3">
      <c r="A12" s="3" t="s">
        <v>7</v>
      </c>
      <c r="B12">
        <f>5437+4291</f>
        <v>9728</v>
      </c>
      <c r="C12">
        <f>5773+5197</f>
        <v>10970</v>
      </c>
      <c r="D12">
        <f>6697+6806</f>
        <v>13503</v>
      </c>
      <c r="E12">
        <f>7297+7002</f>
        <v>14299</v>
      </c>
      <c r="F12">
        <f>7901+6649</f>
        <v>14550</v>
      </c>
      <c r="G12">
        <f>8270+8858</f>
        <v>17128</v>
      </c>
      <c r="H12">
        <f>10180+10678</f>
        <v>20858</v>
      </c>
      <c r="I12">
        <f>8953+10626</f>
        <v>19579</v>
      </c>
      <c r="J12" s="9">
        <v>22848</v>
      </c>
      <c r="K12">
        <v>23433</v>
      </c>
      <c r="L12">
        <v>26041</v>
      </c>
      <c r="M12">
        <v>24687</v>
      </c>
      <c r="N12" s="14">
        <v>23490</v>
      </c>
      <c r="O12" s="14">
        <v>26371</v>
      </c>
      <c r="P12" s="14">
        <v>27428</v>
      </c>
      <c r="R12" s="14">
        <v>26665</v>
      </c>
    </row>
    <row r="13" spans="1:18" x14ac:dyDescent="0.3">
      <c r="A13" s="4" t="s">
        <v>32</v>
      </c>
      <c r="B13" s="15">
        <f t="shared" ref="B13:K13" si="0">SUM(B3:B5)</f>
        <v>100339</v>
      </c>
      <c r="C13" s="15">
        <f t="shared" si="0"/>
        <v>110970</v>
      </c>
      <c r="D13" s="15">
        <f t="shared" si="0"/>
        <v>116421</v>
      </c>
      <c r="E13" s="15">
        <f t="shared" si="0"/>
        <v>123232</v>
      </c>
      <c r="F13" s="15">
        <f t="shared" si="0"/>
        <v>99858</v>
      </c>
      <c r="G13" s="15">
        <f t="shared" si="0"/>
        <v>131348</v>
      </c>
      <c r="H13" s="15">
        <f t="shared" si="0"/>
        <v>131672</v>
      </c>
      <c r="I13" s="15">
        <f t="shared" si="0"/>
        <v>127328</v>
      </c>
      <c r="J13" s="15">
        <f t="shared" si="0"/>
        <v>126195</v>
      </c>
      <c r="K13" s="15">
        <f t="shared" si="0"/>
        <v>118943</v>
      </c>
      <c r="L13" s="15">
        <f>SUM(L3:L5)</f>
        <v>118758</v>
      </c>
      <c r="M13" s="15">
        <f>SUM(M3:M5)</f>
        <v>117871</v>
      </c>
      <c r="N13" s="15">
        <v>116152</v>
      </c>
      <c r="O13" s="15">
        <v>119645</v>
      </c>
      <c r="P13" s="15">
        <v>119702</v>
      </c>
      <c r="Q13" s="15">
        <f t="shared" ref="Q13:R13" si="1">SUM(Q3:Q5)</f>
        <v>0</v>
      </c>
      <c r="R13" s="15">
        <f t="shared" si="1"/>
        <v>114491</v>
      </c>
    </row>
    <row r="14" spans="1:18" ht="14.4" customHeight="1" x14ac:dyDescent="0.3">
      <c r="A14" s="4" t="s">
        <v>8</v>
      </c>
      <c r="B14" s="15">
        <f t="shared" ref="B14:K14" si="2">SUM(B6:B12)</f>
        <v>385019</v>
      </c>
      <c r="C14" s="15">
        <f t="shared" si="2"/>
        <v>403296</v>
      </c>
      <c r="D14" s="15">
        <f t="shared" si="2"/>
        <v>428612</v>
      </c>
      <c r="E14" s="15">
        <f t="shared" si="2"/>
        <v>437232</v>
      </c>
      <c r="F14" s="15">
        <f t="shared" si="2"/>
        <v>471889</v>
      </c>
      <c r="G14" s="15">
        <f t="shared" si="2"/>
        <v>445807</v>
      </c>
      <c r="H14" s="15">
        <f t="shared" si="2"/>
        <v>469460</v>
      </c>
      <c r="I14" s="15">
        <f t="shared" si="2"/>
        <v>487370</v>
      </c>
      <c r="J14" s="15">
        <f t="shared" si="2"/>
        <v>515352</v>
      </c>
      <c r="K14" s="15">
        <f t="shared" si="2"/>
        <v>541635</v>
      </c>
      <c r="L14" s="15">
        <f>SUM(L6:L12)</f>
        <v>560327</v>
      </c>
      <c r="M14" s="15">
        <f>SUM(M6:M12)</f>
        <v>564698</v>
      </c>
      <c r="N14" s="15">
        <v>570254</v>
      </c>
      <c r="O14" s="15">
        <v>583236</v>
      </c>
      <c r="P14" s="15">
        <v>593440</v>
      </c>
      <c r="Q14" s="15">
        <f t="shared" ref="Q14:R14" si="3">SUM(Q6:Q12)</f>
        <v>0</v>
      </c>
      <c r="R14" s="15">
        <f t="shared" si="3"/>
        <v>593212</v>
      </c>
    </row>
    <row r="15" spans="1:18" x14ac:dyDescent="0.3">
      <c r="A15" s="3" t="s">
        <v>24</v>
      </c>
      <c r="B15">
        <v>11631</v>
      </c>
      <c r="C15">
        <v>13990</v>
      </c>
      <c r="D15">
        <v>13382</v>
      </c>
      <c r="E15">
        <v>14142</v>
      </c>
      <c r="F15">
        <v>12066</v>
      </c>
      <c r="G15">
        <v>25461</v>
      </c>
      <c r="H15">
        <v>7941</v>
      </c>
      <c r="I15">
        <v>10756</v>
      </c>
      <c r="J15">
        <v>12392</v>
      </c>
      <c r="K15">
        <v>8566</v>
      </c>
      <c r="L15">
        <v>10888</v>
      </c>
      <c r="M15">
        <v>12395</v>
      </c>
      <c r="N15" s="14">
        <v>13930</v>
      </c>
      <c r="O15" s="14">
        <v>15163</v>
      </c>
      <c r="P15" s="14">
        <v>14145</v>
      </c>
      <c r="R15" s="14">
        <v>13407</v>
      </c>
    </row>
    <row r="16" spans="1:18" x14ac:dyDescent="0.3">
      <c r="A16" s="3" t="s">
        <v>22</v>
      </c>
      <c r="B16">
        <v>16184</v>
      </c>
      <c r="C16">
        <v>15798</v>
      </c>
      <c r="D16">
        <v>19806</v>
      </c>
      <c r="E16">
        <v>19472</v>
      </c>
      <c r="F16">
        <v>14741</v>
      </c>
      <c r="G16">
        <v>19263</v>
      </c>
      <c r="H16">
        <v>17195</v>
      </c>
      <c r="I16">
        <v>17455</v>
      </c>
      <c r="J16">
        <v>19651</v>
      </c>
      <c r="K16">
        <v>16164</v>
      </c>
      <c r="L16">
        <v>17413</v>
      </c>
      <c r="M16">
        <v>15649</v>
      </c>
      <c r="N16" s="14">
        <v>15735</v>
      </c>
      <c r="O16" s="14">
        <v>15876</v>
      </c>
      <c r="P16" s="14">
        <v>17518</v>
      </c>
      <c r="R16" s="14">
        <v>11523</v>
      </c>
    </row>
    <row r="17" spans="1:18" x14ac:dyDescent="0.3">
      <c r="A17" s="3" t="s">
        <v>23</v>
      </c>
      <c r="B17">
        <v>31044</v>
      </c>
      <c r="C17">
        <v>31345</v>
      </c>
      <c r="D17">
        <v>31563</v>
      </c>
      <c r="E17">
        <v>35232</v>
      </c>
      <c r="F17">
        <v>29632</v>
      </c>
      <c r="G17">
        <v>35489</v>
      </c>
      <c r="H17">
        <v>41057</v>
      </c>
      <c r="I17">
        <v>34048</v>
      </c>
      <c r="J17">
        <v>34899</v>
      </c>
      <c r="K17">
        <v>33480</v>
      </c>
      <c r="L17">
        <v>31532</v>
      </c>
      <c r="M17">
        <v>34884</v>
      </c>
      <c r="N17" s="14">
        <v>32534</v>
      </c>
      <c r="O17" s="14">
        <v>35154</v>
      </c>
      <c r="P17" s="14">
        <v>30491</v>
      </c>
      <c r="R17" s="14">
        <v>34676</v>
      </c>
    </row>
    <row r="18" spans="1:18" x14ac:dyDescent="0.3">
      <c r="A18" s="3" t="s">
        <v>9</v>
      </c>
      <c r="B18">
        <f>33497+21568</f>
        <v>55065</v>
      </c>
      <c r="C18">
        <f>37553+23114</f>
        <v>60667</v>
      </c>
      <c r="D18">
        <f>39253+25064</f>
        <v>64317</v>
      </c>
      <c r="E18">
        <f>35888+24184</f>
        <v>60072</v>
      </c>
      <c r="F18">
        <f>47884+35791</f>
        <v>83675</v>
      </c>
      <c r="G18">
        <f>39276+33040</f>
        <v>72316</v>
      </c>
      <c r="H18">
        <f>40630+35138</f>
        <v>75768</v>
      </c>
      <c r="I18">
        <f>40258+37291</f>
        <v>77549</v>
      </c>
      <c r="J18" s="9">
        <v>84447</v>
      </c>
      <c r="K18">
        <v>87220</v>
      </c>
      <c r="L18">
        <v>95051</v>
      </c>
      <c r="M18">
        <v>97895</v>
      </c>
      <c r="N18" s="14">
        <v>94199</v>
      </c>
      <c r="O18" s="14">
        <v>96896</v>
      </c>
      <c r="P18" s="14">
        <v>100547</v>
      </c>
      <c r="R18" s="14">
        <v>89695</v>
      </c>
    </row>
    <row r="19" spans="1:18" x14ac:dyDescent="0.3">
      <c r="A19" s="3" t="s">
        <v>10</v>
      </c>
      <c r="B19">
        <f>34141+19280</f>
        <v>53421</v>
      </c>
      <c r="C19">
        <f>37024+22242</f>
        <v>59266</v>
      </c>
      <c r="D19">
        <f>39502+21588</f>
        <v>61090</v>
      </c>
      <c r="E19">
        <f>39078+25934</f>
        <v>65012</v>
      </c>
      <c r="F19">
        <f>46013+29529</f>
        <v>75542</v>
      </c>
      <c r="G19">
        <f>31953+25032</f>
        <v>56985</v>
      </c>
      <c r="H19">
        <f>38109+28488</f>
        <v>66597</v>
      </c>
      <c r="I19">
        <f>39131+31328</f>
        <v>70459</v>
      </c>
      <c r="J19" s="9">
        <v>73330</v>
      </c>
      <c r="K19">
        <v>77402</v>
      </c>
      <c r="L19">
        <v>82926</v>
      </c>
      <c r="M19">
        <v>85391</v>
      </c>
      <c r="N19" s="14">
        <v>88927</v>
      </c>
      <c r="O19" s="14">
        <v>91227</v>
      </c>
      <c r="P19" s="14">
        <v>91962</v>
      </c>
      <c r="R19" s="14">
        <v>99015</v>
      </c>
    </row>
    <row r="20" spans="1:18" x14ac:dyDescent="0.3">
      <c r="A20" s="3" t="s">
        <v>11</v>
      </c>
      <c r="B20">
        <f>49762+34711</f>
        <v>84473</v>
      </c>
      <c r="C20">
        <f>55999+37691</f>
        <v>93690</v>
      </c>
      <c r="D20">
        <f>58744+38974</f>
        <v>97718</v>
      </c>
      <c r="E20">
        <f>64021+40738</f>
        <v>104759</v>
      </c>
      <c r="F20">
        <f>57530+38580</f>
        <v>96110</v>
      </c>
      <c r="G20">
        <f>54029+40148</f>
        <v>94177</v>
      </c>
      <c r="H20">
        <f>57131+41132</f>
        <v>98263</v>
      </c>
      <c r="I20">
        <f>62083+46320</f>
        <v>108403</v>
      </c>
      <c r="J20" s="9">
        <v>109816</v>
      </c>
      <c r="K20">
        <v>120680</v>
      </c>
      <c r="L20">
        <v>124989</v>
      </c>
      <c r="M20">
        <v>130489</v>
      </c>
      <c r="N20" s="14">
        <v>128715</v>
      </c>
      <c r="O20" s="14">
        <v>124440</v>
      </c>
      <c r="P20" s="14">
        <v>136900</v>
      </c>
      <c r="R20" s="14">
        <v>140492</v>
      </c>
    </row>
    <row r="21" spans="1:18" x14ac:dyDescent="0.3">
      <c r="A21" s="3" t="s">
        <v>12</v>
      </c>
      <c r="B21">
        <f>40184+29810</f>
        <v>69994</v>
      </c>
      <c r="C21">
        <f>36412+32858</f>
        <v>69270</v>
      </c>
      <c r="D21">
        <f>44296+34986</f>
        <v>79282</v>
      </c>
      <c r="E21">
        <f>42973+36541</f>
        <v>79514</v>
      </c>
      <c r="F21">
        <f>40034+32925</f>
        <v>72959</v>
      </c>
      <c r="G21">
        <f>39255+32757</f>
        <v>72012</v>
      </c>
      <c r="H21">
        <f>39273+38085</f>
        <v>77358</v>
      </c>
      <c r="I21">
        <f>42581+34509</f>
        <v>77090</v>
      </c>
      <c r="J21" s="9">
        <v>84806</v>
      </c>
      <c r="K21">
        <v>85989</v>
      </c>
      <c r="L21">
        <v>88636</v>
      </c>
      <c r="M21">
        <v>93349</v>
      </c>
      <c r="N21" s="14">
        <v>93429</v>
      </c>
      <c r="O21" s="14">
        <v>95086</v>
      </c>
      <c r="P21" s="14">
        <v>98237</v>
      </c>
      <c r="R21" s="14">
        <v>93736</v>
      </c>
    </row>
    <row r="22" spans="1:18" x14ac:dyDescent="0.3">
      <c r="A22" s="3" t="s">
        <v>13</v>
      </c>
      <c r="B22">
        <f>12500+10408</f>
        <v>22908</v>
      </c>
      <c r="C22">
        <f>13805+10772</f>
        <v>24577</v>
      </c>
      <c r="D22">
        <f>12817+11979</f>
        <v>24796</v>
      </c>
      <c r="E22">
        <f>13822+11833</f>
        <v>25655</v>
      </c>
      <c r="F22">
        <f>14897+12966</f>
        <v>27863</v>
      </c>
      <c r="G22">
        <f>14552+14074</f>
        <v>28626</v>
      </c>
      <c r="H22">
        <f>14983+13805</f>
        <v>28788</v>
      </c>
      <c r="I22">
        <f>16454+13660</f>
        <v>30114</v>
      </c>
      <c r="J22" s="9">
        <v>34104</v>
      </c>
      <c r="K22">
        <v>33438</v>
      </c>
      <c r="L22">
        <v>34207</v>
      </c>
      <c r="M22">
        <v>35767</v>
      </c>
      <c r="N22" s="14">
        <v>37868</v>
      </c>
      <c r="O22" s="14">
        <v>38516</v>
      </c>
      <c r="P22" s="14">
        <v>34564</v>
      </c>
      <c r="R22" s="14">
        <v>34603</v>
      </c>
    </row>
    <row r="23" spans="1:18" x14ac:dyDescent="0.3">
      <c r="A23" s="3" t="s">
        <v>14</v>
      </c>
      <c r="B23">
        <f>3518+1713</f>
        <v>5231</v>
      </c>
      <c r="C23">
        <f>3101+3120</f>
        <v>6221</v>
      </c>
      <c r="D23">
        <f>3623+3276</f>
        <v>6899</v>
      </c>
      <c r="E23">
        <f>4163+3560</f>
        <v>7723</v>
      </c>
      <c r="F23">
        <f>3384+4481</f>
        <v>7865</v>
      </c>
      <c r="G23">
        <f>4268+3549</f>
        <v>7817</v>
      </c>
      <c r="H23">
        <f>4330+5620</f>
        <v>9950</v>
      </c>
      <c r="I23">
        <f>5708+4249</f>
        <v>9957</v>
      </c>
      <c r="J23" s="9">
        <v>10816</v>
      </c>
      <c r="K23">
        <v>11727</v>
      </c>
      <c r="L23">
        <v>12256</v>
      </c>
      <c r="M23">
        <v>10265</v>
      </c>
      <c r="N23" s="14">
        <v>12334</v>
      </c>
      <c r="O23" s="14">
        <v>12558</v>
      </c>
      <c r="P23" s="14">
        <v>14072</v>
      </c>
      <c r="R23" s="14">
        <v>14861</v>
      </c>
    </row>
    <row r="24" spans="1:18" x14ac:dyDescent="0.3">
      <c r="A24" s="3" t="s">
        <v>15</v>
      </c>
      <c r="B24">
        <f>2591+2654</f>
        <v>5245</v>
      </c>
      <c r="C24">
        <f>3914+2325</f>
        <v>6239</v>
      </c>
      <c r="D24">
        <f>4770+3807</f>
        <v>8577</v>
      </c>
      <c r="E24">
        <f>5007+3471</f>
        <v>8478</v>
      </c>
      <c r="F24">
        <f>4442+3346</f>
        <v>7788</v>
      </c>
      <c r="G24">
        <f>5442+4464</f>
        <v>9906</v>
      </c>
      <c r="H24">
        <f>5783+5040</f>
        <v>10823</v>
      </c>
      <c r="I24">
        <f>5385+4899</f>
        <v>10284</v>
      </c>
      <c r="J24" s="9">
        <v>13792</v>
      </c>
      <c r="K24">
        <v>11981</v>
      </c>
      <c r="L24">
        <v>15402</v>
      </c>
      <c r="M24">
        <v>14852</v>
      </c>
      <c r="N24" s="14">
        <v>13232</v>
      </c>
      <c r="O24" s="14">
        <v>16890</v>
      </c>
      <c r="P24" s="14">
        <v>16400</v>
      </c>
      <c r="R24" s="14">
        <v>15684</v>
      </c>
    </row>
    <row r="25" spans="1:18" x14ac:dyDescent="0.3">
      <c r="A25" s="4" t="s">
        <v>33</v>
      </c>
      <c r="B25" s="15">
        <f t="shared" ref="B25:K25" si="4">SUM(B15:B17)</f>
        <v>58859</v>
      </c>
      <c r="C25" s="15">
        <f t="shared" si="4"/>
        <v>61133</v>
      </c>
      <c r="D25" s="15">
        <f t="shared" si="4"/>
        <v>64751</v>
      </c>
      <c r="E25" s="15">
        <f t="shared" si="4"/>
        <v>68846</v>
      </c>
      <c r="F25" s="15">
        <f t="shared" si="4"/>
        <v>56439</v>
      </c>
      <c r="G25" s="15">
        <f t="shared" si="4"/>
        <v>80213</v>
      </c>
      <c r="H25" s="15">
        <f t="shared" si="4"/>
        <v>66193</v>
      </c>
      <c r="I25" s="15">
        <f t="shared" si="4"/>
        <v>62259</v>
      </c>
      <c r="J25" s="15">
        <f t="shared" si="4"/>
        <v>66942</v>
      </c>
      <c r="K25" s="15">
        <f t="shared" si="4"/>
        <v>58210</v>
      </c>
      <c r="L25" s="15">
        <f>SUM(L15:L17)</f>
        <v>59833</v>
      </c>
      <c r="M25" s="15">
        <f>SUM(M15:M17)</f>
        <v>62928</v>
      </c>
      <c r="N25" s="15">
        <v>62199</v>
      </c>
      <c r="O25" s="15">
        <v>66193</v>
      </c>
      <c r="P25" s="15">
        <v>62154</v>
      </c>
      <c r="Q25" s="15">
        <f t="shared" ref="Q25:R25" si="5">SUM(Q15:Q17)</f>
        <v>0</v>
      </c>
      <c r="R25" s="15">
        <f t="shared" si="5"/>
        <v>59606</v>
      </c>
    </row>
    <row r="26" spans="1:18" x14ac:dyDescent="0.3">
      <c r="A26" s="4" t="s">
        <v>16</v>
      </c>
      <c r="B26" s="15">
        <f t="shared" ref="B26:K26" si="6">SUM(B18:B24)</f>
        <v>296337</v>
      </c>
      <c r="C26" s="15">
        <f t="shared" si="6"/>
        <v>319930</v>
      </c>
      <c r="D26" s="15">
        <f t="shared" si="6"/>
        <v>342679</v>
      </c>
      <c r="E26" s="15">
        <f t="shared" si="6"/>
        <v>351213</v>
      </c>
      <c r="F26" s="15">
        <f t="shared" si="6"/>
        <v>371802</v>
      </c>
      <c r="G26" s="15">
        <f t="shared" si="6"/>
        <v>341839</v>
      </c>
      <c r="H26" s="15">
        <f t="shared" si="6"/>
        <v>367547</v>
      </c>
      <c r="I26" s="15">
        <f t="shared" si="6"/>
        <v>383856</v>
      </c>
      <c r="J26" s="15">
        <f t="shared" si="6"/>
        <v>411111</v>
      </c>
      <c r="K26" s="15">
        <f t="shared" si="6"/>
        <v>428437</v>
      </c>
      <c r="L26" s="15">
        <f>SUM(L18:L24)</f>
        <v>453467</v>
      </c>
      <c r="M26" s="15">
        <f>SUM(M18:M24)</f>
        <v>468008</v>
      </c>
      <c r="N26" s="15">
        <v>468704</v>
      </c>
      <c r="O26" s="15">
        <v>475613</v>
      </c>
      <c r="P26" s="15">
        <v>492682</v>
      </c>
      <c r="Q26" s="15">
        <f t="shared" ref="Q26:R26" si="7">SUM(Q18:Q24)</f>
        <v>0</v>
      </c>
      <c r="R26" s="15">
        <f t="shared" si="7"/>
        <v>488086</v>
      </c>
    </row>
    <row r="27" spans="1:18" ht="28.8" x14ac:dyDescent="0.3">
      <c r="A27" s="6" t="s">
        <v>31</v>
      </c>
      <c r="B27" s="10">
        <f t="shared" ref="B27:K27" si="8">B25/B13</f>
        <v>0.58660142118219238</v>
      </c>
      <c r="C27" s="10">
        <f t="shared" si="8"/>
        <v>0.55089663873118866</v>
      </c>
      <c r="D27" s="10">
        <f t="shared" si="8"/>
        <v>0.55617972702519303</v>
      </c>
      <c r="E27" s="10">
        <f t="shared" si="8"/>
        <v>0.55866982601921578</v>
      </c>
      <c r="F27" s="10">
        <f t="shared" si="8"/>
        <v>0.56519257345430507</v>
      </c>
      <c r="G27" s="10">
        <f t="shared" si="8"/>
        <v>0.61069068428906415</v>
      </c>
      <c r="H27" s="10">
        <f t="shared" si="8"/>
        <v>0.50271128258095876</v>
      </c>
      <c r="I27" s="10">
        <f t="shared" si="8"/>
        <v>0.48896550640864539</v>
      </c>
      <c r="J27" s="10">
        <f t="shared" si="8"/>
        <v>0.53046475692380834</v>
      </c>
      <c r="K27" s="10">
        <f t="shared" si="8"/>
        <v>0.48939407951707958</v>
      </c>
      <c r="L27" s="10">
        <f>L25/L13</f>
        <v>0.5038229003519763</v>
      </c>
      <c r="M27" s="10">
        <f>M25/M13</f>
        <v>0.53387177507614259</v>
      </c>
      <c r="N27" s="10">
        <v>0.5354965906742889</v>
      </c>
      <c r="O27" s="10">
        <v>0.55324501650716706</v>
      </c>
      <c r="P27" s="10">
        <v>0.51923944462080829</v>
      </c>
      <c r="Q27" s="10" t="e">
        <f t="shared" ref="Q27:R28" si="9">Q25/Q13</f>
        <v>#DIV/0!</v>
      </c>
      <c r="R27" s="10">
        <f t="shared" si="9"/>
        <v>0.52061734110104729</v>
      </c>
    </row>
    <row r="28" spans="1:18" ht="28.8" x14ac:dyDescent="0.3">
      <c r="A28" s="6" t="s">
        <v>17</v>
      </c>
      <c r="B28" s="7">
        <f t="shared" ref="B28:I28" si="10">B26/B14</f>
        <v>0.76966850986574686</v>
      </c>
      <c r="C28" s="7">
        <f t="shared" si="10"/>
        <v>0.79328830437197495</v>
      </c>
      <c r="D28" s="7">
        <f t="shared" si="10"/>
        <v>0.79950864651479658</v>
      </c>
      <c r="E28" s="7">
        <f t="shared" si="10"/>
        <v>0.80326462838950485</v>
      </c>
      <c r="F28" s="7">
        <f t="shared" si="10"/>
        <v>0.78790139206465926</v>
      </c>
      <c r="G28" s="7">
        <f t="shared" si="10"/>
        <v>0.76678697283802189</v>
      </c>
      <c r="H28" s="7">
        <f t="shared" si="10"/>
        <v>0.78291441230349768</v>
      </c>
      <c r="I28" s="7">
        <f t="shared" si="10"/>
        <v>0.78760695159734906</v>
      </c>
      <c r="J28" s="7">
        <f>J26/J14</f>
        <v>0.7977285428212173</v>
      </c>
      <c r="K28" s="10">
        <f>K26/K14</f>
        <v>0.79100685886251809</v>
      </c>
      <c r="L28" s="10">
        <f>L26/L14</f>
        <v>0.80928993248585201</v>
      </c>
      <c r="M28" s="10">
        <f>M26/M14</f>
        <v>0.82877573499463431</v>
      </c>
      <c r="N28" s="10">
        <v>0.82192145956012586</v>
      </c>
      <c r="O28" s="10">
        <v>0.81547263886317034</v>
      </c>
      <c r="P28" s="10">
        <v>0.83021366945268271</v>
      </c>
      <c r="Q28" s="10" t="e">
        <f t="shared" si="9"/>
        <v>#DIV/0!</v>
      </c>
      <c r="R28" s="10">
        <f t="shared" si="9"/>
        <v>0.82278510886495893</v>
      </c>
    </row>
  </sheetData>
  <pageMargins left="0.7" right="0.7" top="0.75" bottom="0.75" header="0.3" footer="0.3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topLeftCell="F14" workbookViewId="0">
      <selection activeCell="X8" sqref="X8"/>
    </sheetView>
  </sheetViews>
  <sheetFormatPr defaultRowHeight="14.4" x14ac:dyDescent="0.3"/>
  <cols>
    <col min="1" max="1" width="28.44140625" customWidth="1"/>
    <col min="2" max="8" width="11.5546875" bestFit="1" customWidth="1"/>
    <col min="9" max="12" width="13.33203125" bestFit="1" customWidth="1"/>
    <col min="13" max="13" width="11.6640625" customWidth="1"/>
    <col min="14" max="16" width="13.109375" bestFit="1" customWidth="1"/>
    <col min="18" max="18" width="13.109375" bestFit="1" customWidth="1"/>
  </cols>
  <sheetData>
    <row r="1" spans="1:18" ht="31.2" x14ac:dyDescent="0.3">
      <c r="A1" s="1" t="s">
        <v>25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18">
        <v>2020</v>
      </c>
      <c r="R1" s="18">
        <v>2021</v>
      </c>
    </row>
    <row r="2" spans="1:18" x14ac:dyDescent="0.3">
      <c r="A2" s="3"/>
    </row>
    <row r="3" spans="1:18" x14ac:dyDescent="0.3">
      <c r="A3" s="3" t="s">
        <v>18</v>
      </c>
      <c r="B3">
        <v>67815</v>
      </c>
      <c r="C3">
        <v>88109</v>
      </c>
      <c r="D3">
        <v>96235</v>
      </c>
      <c r="E3">
        <v>94100</v>
      </c>
      <c r="F3">
        <v>88329</v>
      </c>
      <c r="G3">
        <v>97300</v>
      </c>
      <c r="H3">
        <v>94364</v>
      </c>
      <c r="I3">
        <v>100263</v>
      </c>
      <c r="J3">
        <v>100314</v>
      </c>
      <c r="K3">
        <v>100064</v>
      </c>
      <c r="L3">
        <v>108679</v>
      </c>
      <c r="M3">
        <v>108516</v>
      </c>
      <c r="N3" s="14">
        <v>112015</v>
      </c>
      <c r="O3" s="14">
        <v>116672</v>
      </c>
      <c r="P3" s="14">
        <v>122482</v>
      </c>
      <c r="R3" s="14">
        <v>125270</v>
      </c>
    </row>
    <row r="4" spans="1:18" x14ac:dyDescent="0.3">
      <c r="A4" s="3" t="s">
        <v>19</v>
      </c>
      <c r="B4">
        <v>45940</v>
      </c>
      <c r="C4">
        <v>54653</v>
      </c>
      <c r="D4">
        <v>56103</v>
      </c>
      <c r="E4">
        <v>57541</v>
      </c>
      <c r="F4">
        <v>50898</v>
      </c>
      <c r="G4">
        <v>65546</v>
      </c>
      <c r="H4">
        <v>61551</v>
      </c>
      <c r="I4">
        <v>62060</v>
      </c>
      <c r="J4">
        <v>62521</v>
      </c>
      <c r="K4">
        <v>60862</v>
      </c>
      <c r="L4">
        <v>63119</v>
      </c>
      <c r="M4">
        <v>63404</v>
      </c>
      <c r="N4" s="14">
        <v>62626</v>
      </c>
      <c r="O4" s="14">
        <v>62287</v>
      </c>
      <c r="P4" s="14">
        <v>67249</v>
      </c>
      <c r="R4" s="14">
        <v>57044</v>
      </c>
    </row>
    <row r="5" spans="1:18" x14ac:dyDescent="0.3">
      <c r="A5" s="3" t="s">
        <v>20</v>
      </c>
      <c r="B5">
        <v>71957</v>
      </c>
      <c r="C5">
        <v>70571</v>
      </c>
      <c r="D5">
        <v>76525</v>
      </c>
      <c r="E5">
        <v>80069</v>
      </c>
      <c r="F5">
        <v>65899</v>
      </c>
      <c r="G5">
        <v>81719</v>
      </c>
      <c r="H5">
        <v>87381</v>
      </c>
      <c r="I5">
        <v>100263</v>
      </c>
      <c r="J5">
        <v>81906</v>
      </c>
      <c r="K5">
        <v>82411</v>
      </c>
      <c r="L5">
        <v>79340</v>
      </c>
      <c r="M5">
        <v>85221</v>
      </c>
      <c r="N5" s="14">
        <v>84498</v>
      </c>
      <c r="O5" s="14">
        <v>87885</v>
      </c>
      <c r="P5" s="14">
        <v>82346</v>
      </c>
      <c r="R5" s="14">
        <v>96692</v>
      </c>
    </row>
    <row r="6" spans="1:18" x14ac:dyDescent="0.3">
      <c r="A6" s="3" t="s">
        <v>1</v>
      </c>
      <c r="B6">
        <f>68577+57367</f>
        <v>125944</v>
      </c>
      <c r="C6">
        <f>70667+58485</f>
        <v>129152</v>
      </c>
      <c r="D6">
        <f>73771+61591</f>
        <v>135362</v>
      </c>
      <c r="E6">
        <f>72290+62841</f>
        <v>135131</v>
      </c>
      <c r="F6">
        <f>85567+77305</f>
        <v>162872</v>
      </c>
      <c r="G6">
        <f>76236+73310</f>
        <v>149546</v>
      </c>
      <c r="H6">
        <f>78173+74431</f>
        <v>152604</v>
      </c>
      <c r="I6">
        <f>79618+78142</f>
        <v>157760</v>
      </c>
      <c r="J6" s="9">
        <v>162015</v>
      </c>
      <c r="K6">
        <v>170328</v>
      </c>
      <c r="L6">
        <v>173305</v>
      </c>
      <c r="M6">
        <v>177523</v>
      </c>
      <c r="N6" s="14">
        <v>179478</v>
      </c>
      <c r="O6" s="14">
        <v>187731</v>
      </c>
      <c r="P6" s="14">
        <v>190363</v>
      </c>
      <c r="R6" s="14">
        <v>189943</v>
      </c>
    </row>
    <row r="7" spans="1:18" x14ac:dyDescent="0.3">
      <c r="A7" s="3" t="s">
        <v>2</v>
      </c>
      <c r="B7">
        <f>68105+61014</f>
        <v>129119</v>
      </c>
      <c r="C7">
        <f>70125+61343</f>
        <v>131468</v>
      </c>
      <c r="D7">
        <f>75277+63899</f>
        <v>139176</v>
      </c>
      <c r="E7">
        <f>75411+62372</f>
        <v>137783</v>
      </c>
      <c r="F7">
        <f>84154+75277</f>
        <v>159431</v>
      </c>
      <c r="G7">
        <f>72833+71517</f>
        <v>144350</v>
      </c>
      <c r="H7">
        <f>74970+71879</f>
        <v>146849</v>
      </c>
      <c r="I7">
        <f>79620+76412</f>
        <v>156032</v>
      </c>
      <c r="J7" s="9">
        <v>160223</v>
      </c>
      <c r="K7">
        <v>169038</v>
      </c>
      <c r="L7">
        <v>171397</v>
      </c>
      <c r="M7">
        <v>178275</v>
      </c>
      <c r="N7" s="14">
        <v>185792</v>
      </c>
      <c r="O7" s="14">
        <v>189208</v>
      </c>
      <c r="P7" s="14">
        <v>197880</v>
      </c>
      <c r="R7" s="14">
        <v>209395</v>
      </c>
    </row>
    <row r="8" spans="1:18" x14ac:dyDescent="0.3">
      <c r="A8" s="3" t="s">
        <v>3</v>
      </c>
      <c r="B8">
        <f>118001+109876</f>
        <v>227877</v>
      </c>
      <c r="C8">
        <f>127035+117864</f>
        <v>244899</v>
      </c>
      <c r="D8">
        <f>132283+119726</f>
        <v>252009</v>
      </c>
      <c r="E8">
        <f>137070+123234</f>
        <v>260304</v>
      </c>
      <c r="F8">
        <f>139455+123643</f>
        <v>263098</v>
      </c>
      <c r="G8">
        <f>134667+127169</f>
        <v>261836</v>
      </c>
      <c r="H8">
        <f>141100+131458</f>
        <v>272558</v>
      </c>
      <c r="I8">
        <f>143663+135854</f>
        <v>279517</v>
      </c>
      <c r="J8" s="9">
        <v>291408</v>
      </c>
      <c r="K8">
        <v>300335</v>
      </c>
      <c r="L8">
        <v>311163</v>
      </c>
      <c r="M8">
        <v>317335</v>
      </c>
      <c r="N8" s="14">
        <v>326598</v>
      </c>
      <c r="O8" s="14">
        <v>338511</v>
      </c>
      <c r="P8" s="14">
        <v>351843</v>
      </c>
      <c r="R8" s="14">
        <v>383025</v>
      </c>
    </row>
    <row r="9" spans="1:18" x14ac:dyDescent="0.3">
      <c r="A9" s="3" t="s">
        <v>4</v>
      </c>
      <c r="B9">
        <f>96460+97284</f>
        <v>193744</v>
      </c>
      <c r="C9">
        <f>102734+100578</f>
        <v>203312</v>
      </c>
      <c r="D9">
        <f>106700+105970</f>
        <v>212670</v>
      </c>
      <c r="E9">
        <f>113624+109745</f>
        <v>223369</v>
      </c>
      <c r="F9">
        <f>113850+109264</f>
        <v>223114</v>
      </c>
      <c r="G9">
        <f>114201+113219</f>
        <v>227420</v>
      </c>
      <c r="H9">
        <f>116381+119033</f>
        <v>235414</v>
      </c>
      <c r="I9">
        <f>119268+118696</f>
        <v>237964</v>
      </c>
      <c r="J9" s="9">
        <v>241768</v>
      </c>
      <c r="K9">
        <v>248509</v>
      </c>
      <c r="L9">
        <v>257731</v>
      </c>
      <c r="M9">
        <v>265264</v>
      </c>
      <c r="N9" s="14">
        <v>273482</v>
      </c>
      <c r="O9" s="14">
        <v>277683</v>
      </c>
      <c r="P9" s="14">
        <v>281840</v>
      </c>
      <c r="R9" s="14">
        <v>306497</v>
      </c>
    </row>
    <row r="10" spans="1:18" x14ac:dyDescent="0.3">
      <c r="A10" s="3" t="s">
        <v>5</v>
      </c>
      <c r="B10">
        <f>35734+34073</f>
        <v>69807</v>
      </c>
      <c r="C10">
        <f>38929+38352</f>
        <v>77281</v>
      </c>
      <c r="D10">
        <f>41202+40867</f>
        <v>82069</v>
      </c>
      <c r="E10">
        <f>41519+41599</f>
        <v>83118</v>
      </c>
      <c r="F10">
        <f>43130+42783</f>
        <v>85913</v>
      </c>
      <c r="G10">
        <f>45046+46931</f>
        <v>91977</v>
      </c>
      <c r="H10">
        <f>46482+46274</f>
        <v>92756</v>
      </c>
      <c r="I10">
        <f>49845+54131</f>
        <v>103976</v>
      </c>
      <c r="J10" s="9">
        <v>104692</v>
      </c>
      <c r="K10">
        <v>107558</v>
      </c>
      <c r="L10">
        <v>109723</v>
      </c>
      <c r="M10">
        <v>114563</v>
      </c>
      <c r="N10" s="14">
        <v>121919</v>
      </c>
      <c r="O10" s="14">
        <v>122992</v>
      </c>
      <c r="P10" s="14">
        <v>122960</v>
      </c>
      <c r="R10" s="14">
        <v>127914</v>
      </c>
    </row>
    <row r="11" spans="1:18" x14ac:dyDescent="0.3">
      <c r="A11" s="3" t="s">
        <v>6</v>
      </c>
      <c r="B11">
        <f>10699+10154</f>
        <v>20853</v>
      </c>
      <c r="C11">
        <f>10271+11722</f>
        <v>21993</v>
      </c>
      <c r="D11">
        <f>12984+13257</f>
        <v>26241</v>
      </c>
      <c r="E11">
        <f>13920+16289</f>
        <v>30209</v>
      </c>
      <c r="F11">
        <f>14063+15585</f>
        <v>29648</v>
      </c>
      <c r="G11">
        <f>15777+15999</f>
        <v>31776</v>
      </c>
      <c r="H11">
        <f>15344+19397</f>
        <v>34741</v>
      </c>
      <c r="I11">
        <f>17818+18419</f>
        <v>36237</v>
      </c>
      <c r="J11" s="9">
        <v>39977</v>
      </c>
      <c r="K11">
        <v>39689</v>
      </c>
      <c r="L11">
        <v>41972</v>
      </c>
      <c r="M11">
        <v>42895</v>
      </c>
      <c r="N11" s="14">
        <v>44973</v>
      </c>
      <c r="O11" s="14">
        <v>45651</v>
      </c>
      <c r="P11" s="14">
        <v>46976</v>
      </c>
      <c r="R11" s="14">
        <v>48714</v>
      </c>
    </row>
    <row r="12" spans="1:18" x14ac:dyDescent="0.3">
      <c r="A12" s="3" t="s">
        <v>7</v>
      </c>
      <c r="B12">
        <f>11535+13849</f>
        <v>25384</v>
      </c>
      <c r="C12">
        <f>13915+13240</f>
        <v>27155</v>
      </c>
      <c r="D12">
        <f>14550+15646</f>
        <v>30196</v>
      </c>
      <c r="E12">
        <f>17129+17650</f>
        <v>34779</v>
      </c>
      <c r="F12">
        <f>19294+18649</f>
        <v>37943</v>
      </c>
      <c r="G12">
        <f>20826+22411</f>
        <v>43237</v>
      </c>
      <c r="H12">
        <f>24584+28308</f>
        <v>52892</v>
      </c>
      <c r="I12">
        <f>22392+23364</f>
        <v>45756</v>
      </c>
      <c r="J12" s="9">
        <v>48844</v>
      </c>
      <c r="K12">
        <v>56422</v>
      </c>
      <c r="L12">
        <v>60425</v>
      </c>
      <c r="M12">
        <v>58977</v>
      </c>
      <c r="N12" s="14">
        <v>58543</v>
      </c>
      <c r="O12" s="14">
        <v>61907</v>
      </c>
      <c r="P12" s="14">
        <v>67181</v>
      </c>
      <c r="R12" s="14">
        <v>73699</v>
      </c>
    </row>
    <row r="13" spans="1:18" x14ac:dyDescent="0.3">
      <c r="A13" s="4" t="s">
        <v>32</v>
      </c>
      <c r="B13" s="15">
        <f t="shared" ref="B13:K13" si="0">SUM(B3:B5)</f>
        <v>185712</v>
      </c>
      <c r="C13" s="15">
        <f t="shared" si="0"/>
        <v>213333</v>
      </c>
      <c r="D13" s="15">
        <f t="shared" si="0"/>
        <v>228863</v>
      </c>
      <c r="E13" s="15">
        <f t="shared" si="0"/>
        <v>231710</v>
      </c>
      <c r="F13" s="15">
        <f t="shared" si="0"/>
        <v>205126</v>
      </c>
      <c r="G13" s="15">
        <f t="shared" si="0"/>
        <v>244565</v>
      </c>
      <c r="H13" s="15">
        <f t="shared" si="0"/>
        <v>243296</v>
      </c>
      <c r="I13" s="15">
        <f t="shared" si="0"/>
        <v>262586</v>
      </c>
      <c r="J13" s="15">
        <f t="shared" si="0"/>
        <v>244741</v>
      </c>
      <c r="K13" s="15">
        <f t="shared" si="0"/>
        <v>243337</v>
      </c>
      <c r="L13" s="15">
        <f>SUM(L3:L5)</f>
        <v>251138</v>
      </c>
      <c r="M13" s="15">
        <f>SUM(M3:M5)</f>
        <v>257141</v>
      </c>
      <c r="N13" s="15">
        <v>259139</v>
      </c>
      <c r="O13" s="15">
        <v>266844</v>
      </c>
      <c r="P13" s="15">
        <v>272077</v>
      </c>
      <c r="Q13" s="5">
        <f t="shared" ref="Q13:R13" si="1">SUM(Q3:Q5)</f>
        <v>0</v>
      </c>
      <c r="R13" s="15">
        <f t="shared" si="1"/>
        <v>279006</v>
      </c>
    </row>
    <row r="14" spans="1:18" x14ac:dyDescent="0.3">
      <c r="A14" s="4" t="s">
        <v>8</v>
      </c>
      <c r="B14" s="15">
        <f t="shared" ref="B14:K14" si="2">SUM(B6:B12)</f>
        <v>792728</v>
      </c>
      <c r="C14" s="15">
        <f t="shared" si="2"/>
        <v>835260</v>
      </c>
      <c r="D14" s="15">
        <f t="shared" si="2"/>
        <v>877723</v>
      </c>
      <c r="E14" s="15">
        <f t="shared" si="2"/>
        <v>904693</v>
      </c>
      <c r="F14" s="15">
        <f t="shared" si="2"/>
        <v>962019</v>
      </c>
      <c r="G14" s="15">
        <f t="shared" si="2"/>
        <v>950142</v>
      </c>
      <c r="H14" s="15">
        <f t="shared" si="2"/>
        <v>987814</v>
      </c>
      <c r="I14" s="15">
        <f t="shared" si="2"/>
        <v>1017242</v>
      </c>
      <c r="J14" s="15">
        <f t="shared" si="2"/>
        <v>1048927</v>
      </c>
      <c r="K14" s="15">
        <f t="shared" si="2"/>
        <v>1091879</v>
      </c>
      <c r="L14" s="15">
        <f>SUM(L6:L12)</f>
        <v>1125716</v>
      </c>
      <c r="M14" s="15">
        <f>SUM(M6:M12)</f>
        <v>1154832</v>
      </c>
      <c r="N14" s="15">
        <v>1190785</v>
      </c>
      <c r="O14" s="15">
        <v>1223683</v>
      </c>
      <c r="P14" s="15">
        <v>1259043</v>
      </c>
      <c r="Q14" s="5">
        <f t="shared" ref="Q14:R14" si="3">SUM(Q6:Q12)</f>
        <v>0</v>
      </c>
      <c r="R14" s="15">
        <f t="shared" si="3"/>
        <v>1339187</v>
      </c>
    </row>
    <row r="15" spans="1:18" x14ac:dyDescent="0.3">
      <c r="A15" s="3" t="s">
        <v>24</v>
      </c>
      <c r="B15">
        <v>25322</v>
      </c>
      <c r="C15">
        <v>31507</v>
      </c>
      <c r="D15">
        <v>30267</v>
      </c>
      <c r="E15">
        <v>32932</v>
      </c>
      <c r="F15">
        <v>24653</v>
      </c>
      <c r="G15">
        <v>26697</v>
      </c>
      <c r="H15">
        <v>18377</v>
      </c>
      <c r="I15">
        <v>25152</v>
      </c>
      <c r="J15">
        <v>26103</v>
      </c>
      <c r="K15">
        <v>26066</v>
      </c>
      <c r="L15">
        <v>31370</v>
      </c>
      <c r="M15">
        <v>32818</v>
      </c>
      <c r="N15" s="14">
        <v>34874</v>
      </c>
      <c r="O15" s="14">
        <v>37118</v>
      </c>
      <c r="P15" s="14">
        <v>41420</v>
      </c>
      <c r="R15" s="14">
        <v>46133</v>
      </c>
    </row>
    <row r="16" spans="1:18" x14ac:dyDescent="0.3">
      <c r="A16" s="3" t="s">
        <v>22</v>
      </c>
      <c r="B16">
        <v>29618</v>
      </c>
      <c r="C16">
        <v>30964</v>
      </c>
      <c r="D16">
        <v>36947</v>
      </c>
      <c r="E16">
        <v>36039</v>
      </c>
      <c r="F16">
        <v>26922</v>
      </c>
      <c r="G16">
        <v>34493</v>
      </c>
      <c r="H16">
        <v>34389</v>
      </c>
      <c r="I16">
        <v>33548</v>
      </c>
      <c r="J16">
        <v>37179</v>
      </c>
      <c r="K16">
        <v>35800</v>
      </c>
      <c r="L16">
        <v>35780</v>
      </c>
      <c r="M16">
        <v>37148</v>
      </c>
      <c r="N16" s="14">
        <v>39816</v>
      </c>
      <c r="O16" s="14">
        <v>36000</v>
      </c>
      <c r="P16" s="14">
        <v>44189</v>
      </c>
      <c r="R16" s="14">
        <v>32460</v>
      </c>
    </row>
    <row r="17" spans="1:18" x14ac:dyDescent="0.3">
      <c r="A17" s="3" t="s">
        <v>23</v>
      </c>
      <c r="B17">
        <v>53933</v>
      </c>
      <c r="C17">
        <v>52403</v>
      </c>
      <c r="D17">
        <v>57268</v>
      </c>
      <c r="E17">
        <v>60630</v>
      </c>
      <c r="F17">
        <v>56291</v>
      </c>
      <c r="G17">
        <v>56533</v>
      </c>
      <c r="H17">
        <v>63282</v>
      </c>
      <c r="I17">
        <v>57187</v>
      </c>
      <c r="J17">
        <v>58765</v>
      </c>
      <c r="K17">
        <v>56941</v>
      </c>
      <c r="L17">
        <v>59824</v>
      </c>
      <c r="M17">
        <v>65514</v>
      </c>
      <c r="N17" s="14">
        <v>63057</v>
      </c>
      <c r="O17" s="14">
        <v>67317</v>
      </c>
      <c r="P17" s="14">
        <v>60750</v>
      </c>
      <c r="R17" s="14">
        <v>70865</v>
      </c>
    </row>
    <row r="18" spans="1:18" x14ac:dyDescent="0.3">
      <c r="A18" s="3" t="s">
        <v>9</v>
      </c>
      <c r="B18">
        <f>60295+39295</f>
        <v>99590</v>
      </c>
      <c r="C18">
        <f>60809+43717</f>
        <v>104526</v>
      </c>
      <c r="D18">
        <f>63822+46400</f>
        <v>110222</v>
      </c>
      <c r="E18">
        <f>63137+46376</f>
        <v>109513</v>
      </c>
      <c r="F18">
        <f>70785+59455</f>
        <v>130240</v>
      </c>
      <c r="G18">
        <f>63272+54096</f>
        <v>117368</v>
      </c>
      <c r="H18">
        <f>63072+53719</f>
        <v>116791</v>
      </c>
      <c r="I18">
        <f>64259+58938</f>
        <v>123197</v>
      </c>
      <c r="J18" s="9">
        <v>133779</v>
      </c>
      <c r="K18">
        <v>138181</v>
      </c>
      <c r="L18">
        <v>141673</v>
      </c>
      <c r="M18">
        <v>147242</v>
      </c>
      <c r="N18" s="14">
        <v>149391</v>
      </c>
      <c r="O18" s="14">
        <v>157607</v>
      </c>
      <c r="P18" s="14">
        <v>163403</v>
      </c>
      <c r="R18" s="14">
        <v>158944</v>
      </c>
    </row>
    <row r="19" spans="1:18" x14ac:dyDescent="0.3">
      <c r="A19" s="3" t="s">
        <v>10</v>
      </c>
      <c r="B19">
        <f>61994+41393</f>
        <v>103387</v>
      </c>
      <c r="C19">
        <f>63107+43219</f>
        <v>106326</v>
      </c>
      <c r="D19">
        <f>68153+43034</f>
        <v>111187</v>
      </c>
      <c r="E19">
        <f>69172+47918</f>
        <v>117090</v>
      </c>
      <c r="F19">
        <f>75956+53003</f>
        <v>128959</v>
      </c>
      <c r="G19">
        <f>62461+49475</f>
        <v>111936</v>
      </c>
      <c r="H19">
        <f>65849+50276</f>
        <v>116125</v>
      </c>
      <c r="I19">
        <f>66973+55879</f>
        <v>122852</v>
      </c>
      <c r="J19" s="9">
        <v>128910</v>
      </c>
      <c r="K19">
        <v>139219</v>
      </c>
      <c r="L19">
        <v>139321</v>
      </c>
      <c r="M19">
        <v>145515</v>
      </c>
      <c r="N19" s="14">
        <v>153960</v>
      </c>
      <c r="O19" s="14">
        <v>155594</v>
      </c>
      <c r="P19" s="14">
        <v>165773</v>
      </c>
      <c r="R19" s="14">
        <v>178497</v>
      </c>
    </row>
    <row r="20" spans="1:18" x14ac:dyDescent="0.3">
      <c r="A20" s="3" t="s">
        <v>11</v>
      </c>
      <c r="B20">
        <f>104377+75598</f>
        <v>179975</v>
      </c>
      <c r="C20">
        <f>115116+84172</f>
        <v>199288</v>
      </c>
      <c r="D20">
        <f>118991+86033</f>
        <v>205024</v>
      </c>
      <c r="E20">
        <f>123874+89683</f>
        <v>213557</v>
      </c>
      <c r="F20">
        <f>122462+90373</f>
        <v>212835</v>
      </c>
      <c r="G20">
        <f>116645+90143</f>
        <v>206788</v>
      </c>
      <c r="H20">
        <f>122425+97900</f>
        <v>220325</v>
      </c>
      <c r="I20">
        <f>127346+101111</f>
        <v>228457</v>
      </c>
      <c r="J20" s="9">
        <v>237006</v>
      </c>
      <c r="K20">
        <v>240884</v>
      </c>
      <c r="L20">
        <v>259070</v>
      </c>
      <c r="M20">
        <v>263827</v>
      </c>
      <c r="N20" s="14">
        <v>268771</v>
      </c>
      <c r="O20" s="14">
        <v>278499</v>
      </c>
      <c r="P20" s="14">
        <v>294941</v>
      </c>
      <c r="R20" s="14">
        <v>316724</v>
      </c>
    </row>
    <row r="21" spans="1:18" x14ac:dyDescent="0.3">
      <c r="A21" s="3" t="s">
        <v>12</v>
      </c>
      <c r="B21">
        <f>82129+67443</f>
        <v>149572</v>
      </c>
      <c r="C21">
        <f>86955+73761</f>
        <v>160716</v>
      </c>
      <c r="D21">
        <f>93698+77124</f>
        <v>170822</v>
      </c>
      <c r="E21">
        <f>97210+81217</f>
        <v>178427</v>
      </c>
      <c r="F21">
        <f>95897+79751</f>
        <v>175648</v>
      </c>
      <c r="G21">
        <f>94752+80609</f>
        <v>175361</v>
      </c>
      <c r="H21">
        <f>96739+85523</f>
        <v>182262</v>
      </c>
      <c r="I21">
        <f>103189+83806</f>
        <v>186995</v>
      </c>
      <c r="J21" s="9">
        <v>191864</v>
      </c>
      <c r="K21">
        <v>196879</v>
      </c>
      <c r="L21">
        <v>209653</v>
      </c>
      <c r="M21">
        <v>217220</v>
      </c>
      <c r="N21" s="14">
        <v>224976</v>
      </c>
      <c r="O21" s="14">
        <v>226560</v>
      </c>
      <c r="P21" s="14">
        <v>235663</v>
      </c>
      <c r="R21" s="14">
        <v>248120</v>
      </c>
    </row>
    <row r="22" spans="1:18" x14ac:dyDescent="0.3">
      <c r="A22" s="3" t="s">
        <v>13</v>
      </c>
      <c r="B22">
        <f>27817+21134</f>
        <v>48951</v>
      </c>
      <c r="C22">
        <f>30691+22244</f>
        <v>52935</v>
      </c>
      <c r="D22">
        <f>31317+26068</f>
        <v>57385</v>
      </c>
      <c r="E22">
        <f>31809+26481</f>
        <v>58290</v>
      </c>
      <c r="F22">
        <f>32357+28251</f>
        <v>60608</v>
      </c>
      <c r="G22">
        <f>35640+31437</f>
        <v>67077</v>
      </c>
      <c r="H22">
        <f>35963+30962</f>
        <v>66925</v>
      </c>
      <c r="I22">
        <f>37703+33994</f>
        <v>71697</v>
      </c>
      <c r="J22" s="9">
        <v>75546</v>
      </c>
      <c r="K22">
        <v>76351</v>
      </c>
      <c r="L22">
        <v>79879</v>
      </c>
      <c r="M22">
        <v>86413</v>
      </c>
      <c r="N22" s="14">
        <v>92174</v>
      </c>
      <c r="O22" s="14">
        <v>91018</v>
      </c>
      <c r="P22" s="14">
        <v>90373</v>
      </c>
      <c r="R22" s="14">
        <v>93439</v>
      </c>
    </row>
    <row r="23" spans="1:18" x14ac:dyDescent="0.3">
      <c r="A23" s="3" t="s">
        <v>14</v>
      </c>
      <c r="B23">
        <f>7446+4902</f>
        <v>12348</v>
      </c>
      <c r="C23">
        <f>6936+5733</f>
        <v>12669</v>
      </c>
      <c r="D23">
        <f>9091+7072</f>
        <v>16163</v>
      </c>
      <c r="E23">
        <f>9203+8508</f>
        <v>17711</v>
      </c>
      <c r="F23">
        <f>9021+9474</f>
        <v>18495</v>
      </c>
      <c r="G23">
        <f>9731+8156</f>
        <v>17887</v>
      </c>
      <c r="H23">
        <f>10129+10440</f>
        <v>20569</v>
      </c>
      <c r="I23">
        <f>12814+11171</f>
        <v>23985</v>
      </c>
      <c r="J23" s="9">
        <v>26029</v>
      </c>
      <c r="K23">
        <v>25740</v>
      </c>
      <c r="L23">
        <v>24920</v>
      </c>
      <c r="M23">
        <v>26655</v>
      </c>
      <c r="N23" s="14">
        <v>29246</v>
      </c>
      <c r="O23" s="14">
        <v>28769</v>
      </c>
      <c r="P23" s="14">
        <v>32947</v>
      </c>
      <c r="R23" s="14">
        <v>33134</v>
      </c>
    </row>
    <row r="24" spans="1:18" x14ac:dyDescent="0.3">
      <c r="A24" s="3" t="s">
        <v>15</v>
      </c>
      <c r="B24">
        <f>5722+6169</f>
        <v>11891</v>
      </c>
      <c r="C24">
        <f>8380+5407</f>
        <v>13787</v>
      </c>
      <c r="D24">
        <f>9152+6812</f>
        <v>15964</v>
      </c>
      <c r="E24">
        <f>10652+7974</f>
        <v>18626</v>
      </c>
      <c r="F24">
        <f>9755+18649</f>
        <v>28404</v>
      </c>
      <c r="G24">
        <f>12168+10012</f>
        <v>22180</v>
      </c>
      <c r="H24">
        <f>12989+14039</f>
        <v>27028</v>
      </c>
      <c r="I24">
        <f>13064+10178</f>
        <v>23242</v>
      </c>
      <c r="J24" s="9">
        <v>24995</v>
      </c>
      <c r="K24">
        <v>26784</v>
      </c>
      <c r="L24">
        <v>33008</v>
      </c>
      <c r="M24">
        <v>32206</v>
      </c>
      <c r="N24" s="14">
        <v>31253</v>
      </c>
      <c r="O24" s="14">
        <v>33487</v>
      </c>
      <c r="P24" s="14">
        <v>39099</v>
      </c>
      <c r="R24" s="14">
        <v>40965</v>
      </c>
    </row>
    <row r="25" spans="1:18" x14ac:dyDescent="0.3">
      <c r="A25" s="4" t="s">
        <v>33</v>
      </c>
      <c r="B25" s="15">
        <f t="shared" ref="B25:K25" si="4">SUM(B15:B17)</f>
        <v>108873</v>
      </c>
      <c r="C25" s="15">
        <f t="shared" si="4"/>
        <v>114874</v>
      </c>
      <c r="D25" s="15">
        <f t="shared" si="4"/>
        <v>124482</v>
      </c>
      <c r="E25" s="15">
        <f t="shared" si="4"/>
        <v>129601</v>
      </c>
      <c r="F25" s="15">
        <f t="shared" si="4"/>
        <v>107866</v>
      </c>
      <c r="G25" s="15">
        <f t="shared" si="4"/>
        <v>117723</v>
      </c>
      <c r="H25" s="15">
        <f t="shared" si="4"/>
        <v>116048</v>
      </c>
      <c r="I25" s="15">
        <f t="shared" si="4"/>
        <v>115887</v>
      </c>
      <c r="J25" s="15">
        <f t="shared" si="4"/>
        <v>122047</v>
      </c>
      <c r="K25" s="15">
        <f t="shared" si="4"/>
        <v>118807</v>
      </c>
      <c r="L25" s="15">
        <f>SUM(L15:L17)</f>
        <v>126974</v>
      </c>
      <c r="M25" s="15">
        <f>SUM(M15:M17)</f>
        <v>135480</v>
      </c>
      <c r="N25" s="15">
        <v>137747</v>
      </c>
      <c r="O25" s="15">
        <v>140435</v>
      </c>
      <c r="P25" s="15">
        <v>146359</v>
      </c>
      <c r="Q25" s="5">
        <f t="shared" ref="Q25:R25" si="5">SUM(Q15:Q17)</f>
        <v>0</v>
      </c>
      <c r="R25" s="15">
        <f t="shared" si="5"/>
        <v>149458</v>
      </c>
    </row>
    <row r="26" spans="1:18" x14ac:dyDescent="0.3">
      <c r="A26" s="4" t="s">
        <v>16</v>
      </c>
      <c r="B26" s="15">
        <f t="shared" ref="B26:K26" si="6">SUM(B18:B24)</f>
        <v>605714</v>
      </c>
      <c r="C26" s="15">
        <f t="shared" si="6"/>
        <v>650247</v>
      </c>
      <c r="D26" s="15">
        <f t="shared" si="6"/>
        <v>686767</v>
      </c>
      <c r="E26" s="15">
        <f t="shared" si="6"/>
        <v>713214</v>
      </c>
      <c r="F26" s="15">
        <f t="shared" si="6"/>
        <v>755189</v>
      </c>
      <c r="G26" s="15">
        <f t="shared" si="6"/>
        <v>718597</v>
      </c>
      <c r="H26" s="15">
        <f t="shared" si="6"/>
        <v>750025</v>
      </c>
      <c r="I26" s="15">
        <f t="shared" si="6"/>
        <v>780425</v>
      </c>
      <c r="J26" s="15">
        <f t="shared" si="6"/>
        <v>818129</v>
      </c>
      <c r="K26" s="15">
        <f t="shared" si="6"/>
        <v>844038</v>
      </c>
      <c r="L26" s="15">
        <f>SUM(L18:L24)</f>
        <v>887524</v>
      </c>
      <c r="M26" s="15">
        <f>SUM(M18:M24)</f>
        <v>919078</v>
      </c>
      <c r="N26" s="15">
        <v>949771</v>
      </c>
      <c r="O26" s="15">
        <v>971534</v>
      </c>
      <c r="P26" s="15">
        <v>1022199</v>
      </c>
      <c r="Q26" s="5">
        <f t="shared" ref="Q26:R26" si="7">SUM(Q18:Q24)</f>
        <v>0</v>
      </c>
      <c r="R26" s="15">
        <f t="shared" si="7"/>
        <v>1069823</v>
      </c>
    </row>
    <row r="27" spans="1:18" ht="28.8" x14ac:dyDescent="0.3">
      <c r="A27" s="4" t="s">
        <v>31</v>
      </c>
      <c r="B27" s="10">
        <f t="shared" ref="B27:K27" si="8">B25/B13</f>
        <v>0.58624644611010601</v>
      </c>
      <c r="C27" s="10">
        <f t="shared" si="8"/>
        <v>0.53847271636361926</v>
      </c>
      <c r="D27" s="10">
        <f t="shared" si="8"/>
        <v>0.54391491853204754</v>
      </c>
      <c r="E27" s="10">
        <f t="shared" si="8"/>
        <v>0.55932415519399248</v>
      </c>
      <c r="F27" s="10">
        <f t="shared" si="8"/>
        <v>0.52585240291333135</v>
      </c>
      <c r="G27" s="10">
        <f t="shared" si="8"/>
        <v>0.48135669453928404</v>
      </c>
      <c r="H27" s="10">
        <f t="shared" si="8"/>
        <v>0.47698276995922662</v>
      </c>
      <c r="I27" s="10">
        <f t="shared" si="8"/>
        <v>0.44132969769903957</v>
      </c>
      <c r="J27" s="10">
        <f t="shared" si="8"/>
        <v>0.4986781944994913</v>
      </c>
      <c r="K27" s="10">
        <f t="shared" si="8"/>
        <v>0.48824058815552096</v>
      </c>
      <c r="L27" s="10">
        <f>L25/L13</f>
        <v>0.50559453368267648</v>
      </c>
      <c r="M27" s="10">
        <f>M25/M13</f>
        <v>0.52687047184229663</v>
      </c>
      <c r="N27" s="10">
        <v>0.53155642338667664</v>
      </c>
      <c r="O27" s="10">
        <v>0.52628127295348592</v>
      </c>
      <c r="P27" s="10">
        <v>0.53793227652466025</v>
      </c>
      <c r="Q27" s="10" t="e">
        <f t="shared" ref="Q27:R28" si="9">Q25/Q13</f>
        <v>#DIV/0!</v>
      </c>
      <c r="R27" s="10">
        <f t="shared" si="9"/>
        <v>0.53568023626732042</v>
      </c>
    </row>
    <row r="28" spans="1:18" ht="28.8" x14ac:dyDescent="0.3">
      <c r="A28" s="6" t="s">
        <v>17</v>
      </c>
      <c r="B28" s="7">
        <f>B26/B14</f>
        <v>0.76408806046966926</v>
      </c>
      <c r="C28" s="7">
        <f t="shared" ref="C28:H28" si="10">C26/C14</f>
        <v>0.77849651605488113</v>
      </c>
      <c r="D28" s="7">
        <f t="shared" si="10"/>
        <v>0.78244161312851546</v>
      </c>
      <c r="E28" s="7">
        <f t="shared" si="10"/>
        <v>0.78834919690989103</v>
      </c>
      <c r="F28" s="7">
        <f t="shared" si="10"/>
        <v>0.78500424627788012</v>
      </c>
      <c r="G28" s="7">
        <f t="shared" si="10"/>
        <v>0.75630484706496504</v>
      </c>
      <c r="H28" s="7">
        <f t="shared" si="10"/>
        <v>0.75927755630108507</v>
      </c>
      <c r="I28" s="7">
        <f>I26/I14</f>
        <v>0.76719698950692161</v>
      </c>
      <c r="J28" s="7">
        <f>J26/J14</f>
        <v>0.77996752872220854</v>
      </c>
      <c r="K28" s="16">
        <f>K26/K14</f>
        <v>0.77301422593529134</v>
      </c>
      <c r="L28" s="16">
        <f>L26/L14</f>
        <v>0.78840844404805477</v>
      </c>
      <c r="M28" s="16">
        <f>M26/M14</f>
        <v>0.79585428876234809</v>
      </c>
      <c r="N28" s="10">
        <v>0.79760074236742984</v>
      </c>
      <c r="O28" s="10">
        <v>0.79394254884639237</v>
      </c>
      <c r="P28" s="10">
        <v>0.81188569413435441</v>
      </c>
      <c r="Q28" s="10" t="e">
        <f t="shared" si="9"/>
        <v>#DIV/0!</v>
      </c>
      <c r="R28" s="10">
        <f t="shared" si="9"/>
        <v>0.79886005464509435</v>
      </c>
    </row>
    <row r="30" spans="1:18" x14ac:dyDescent="0.3">
      <c r="F30" s="11"/>
    </row>
    <row r="31" spans="1:18" x14ac:dyDescent="0.3">
      <c r="A31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1"/>
  <sheetViews>
    <sheetView topLeftCell="B1" workbookViewId="0">
      <selection activeCell="P1" sqref="P1:R1"/>
    </sheetView>
  </sheetViews>
  <sheetFormatPr defaultRowHeight="14.4" x14ac:dyDescent="0.3"/>
  <cols>
    <col min="1" max="1" width="26" customWidth="1"/>
    <col min="2" max="2" width="11.88671875" customWidth="1"/>
    <col min="3" max="3" width="12.33203125" customWidth="1"/>
    <col min="4" max="4" width="11.33203125" customWidth="1"/>
    <col min="5" max="6" width="11.44140625" customWidth="1"/>
    <col min="7" max="7" width="11.33203125" customWidth="1"/>
    <col min="8" max="8" width="11.44140625" customWidth="1"/>
    <col min="9" max="9" width="11.88671875" customWidth="1"/>
    <col min="10" max="10" width="11.44140625" customWidth="1"/>
    <col min="11" max="11" width="11.5546875" customWidth="1"/>
    <col min="12" max="12" width="11.44140625" customWidth="1"/>
    <col min="13" max="13" width="13.21875" customWidth="1"/>
    <col min="14" max="16" width="14.109375" bestFit="1" customWidth="1"/>
    <col min="17" max="17" width="9" bestFit="1" customWidth="1"/>
    <col min="18" max="18" width="14.109375" bestFit="1" customWidth="1"/>
  </cols>
  <sheetData>
    <row r="1" spans="1:18" ht="15.6" x14ac:dyDescent="0.3">
      <c r="A1" s="1" t="s">
        <v>27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18">
        <v>2020</v>
      </c>
      <c r="R1" s="18">
        <v>2021</v>
      </c>
    </row>
    <row r="2" spans="1:18" x14ac:dyDescent="0.3">
      <c r="A2" s="3"/>
    </row>
    <row r="3" spans="1:18" x14ac:dyDescent="0.3">
      <c r="A3" s="3" t="s">
        <v>18</v>
      </c>
      <c r="B3">
        <v>1254509</v>
      </c>
      <c r="C3">
        <v>1407924</v>
      </c>
      <c r="D3">
        <v>1425163</v>
      </c>
      <c r="E3">
        <v>1450813</v>
      </c>
      <c r="F3">
        <v>1447533</v>
      </c>
      <c r="G3">
        <v>1521748</v>
      </c>
      <c r="H3">
        <v>1507388</v>
      </c>
      <c r="I3">
        <v>1514381</v>
      </c>
      <c r="J3">
        <v>1537300</v>
      </c>
      <c r="K3">
        <v>1537788</v>
      </c>
      <c r="L3">
        <v>1565340</v>
      </c>
      <c r="M3">
        <v>1601098</v>
      </c>
      <c r="N3" s="14">
        <v>1627019</v>
      </c>
      <c r="O3" s="14">
        <v>1652141</v>
      </c>
      <c r="P3" s="14">
        <v>1669014</v>
      </c>
      <c r="Q3" s="14"/>
      <c r="R3" s="14">
        <v>1696415</v>
      </c>
    </row>
    <row r="4" spans="1:18" x14ac:dyDescent="0.3">
      <c r="A4" s="3" t="s">
        <v>19</v>
      </c>
      <c r="B4">
        <v>639006</v>
      </c>
      <c r="C4">
        <v>747076</v>
      </c>
      <c r="D4">
        <v>728574</v>
      </c>
      <c r="E4">
        <v>721954</v>
      </c>
      <c r="F4">
        <v>741681</v>
      </c>
      <c r="G4">
        <v>769024</v>
      </c>
      <c r="H4">
        <v>795300</v>
      </c>
      <c r="I4">
        <v>815185</v>
      </c>
      <c r="J4">
        <v>805932</v>
      </c>
      <c r="K4">
        <v>822502</v>
      </c>
      <c r="L4">
        <v>820149</v>
      </c>
      <c r="M4">
        <v>818494</v>
      </c>
      <c r="N4" s="14">
        <v>824258</v>
      </c>
      <c r="O4" s="14">
        <v>814709</v>
      </c>
      <c r="P4" s="14">
        <v>819635</v>
      </c>
      <c r="Q4" s="14"/>
      <c r="R4" s="14">
        <v>800872</v>
      </c>
    </row>
    <row r="5" spans="1:18" x14ac:dyDescent="0.3">
      <c r="A5" s="3" t="s">
        <v>20</v>
      </c>
      <c r="B5">
        <v>970618</v>
      </c>
      <c r="C5">
        <v>997343</v>
      </c>
      <c r="D5">
        <v>999325</v>
      </c>
      <c r="E5">
        <v>1019730</v>
      </c>
      <c r="F5">
        <v>866224</v>
      </c>
      <c r="G5">
        <v>1060314</v>
      </c>
      <c r="H5">
        <v>1078610</v>
      </c>
      <c r="I5">
        <v>1108173</v>
      </c>
      <c r="J5">
        <v>1151151</v>
      </c>
      <c r="K5">
        <v>1157568</v>
      </c>
      <c r="L5">
        <v>1184898</v>
      </c>
      <c r="M5">
        <v>1173435</v>
      </c>
      <c r="N5" s="14">
        <v>1161110</v>
      </c>
      <c r="O5" s="14">
        <v>1173976</v>
      </c>
      <c r="P5" s="14">
        <v>1164413</v>
      </c>
      <c r="Q5" s="14"/>
      <c r="R5" s="14">
        <v>1212048</v>
      </c>
    </row>
    <row r="6" spans="1:18" x14ac:dyDescent="0.3">
      <c r="A6" s="3" t="s">
        <v>1</v>
      </c>
      <c r="B6">
        <f>808434+807285</f>
        <v>1615719</v>
      </c>
      <c r="C6">
        <f>901148+845964</f>
        <v>1747112</v>
      </c>
      <c r="D6">
        <f>931039+863621</f>
        <v>1794660</v>
      </c>
      <c r="E6">
        <f>950164+876173</f>
        <v>1826337</v>
      </c>
      <c r="F6">
        <f>976768+909740</f>
        <v>1886508</v>
      </c>
      <c r="G6" s="9">
        <v>1625454</v>
      </c>
      <c r="H6" s="9">
        <v>1857157</v>
      </c>
      <c r="I6" s="9">
        <v>1885907</v>
      </c>
      <c r="J6" s="9">
        <v>1892173</v>
      </c>
      <c r="K6">
        <v>1950976</v>
      </c>
      <c r="L6">
        <v>2002091</v>
      </c>
      <c r="M6">
        <v>2044763</v>
      </c>
      <c r="N6" s="14">
        <v>2085081</v>
      </c>
      <c r="O6" s="14">
        <v>2128188</v>
      </c>
      <c r="P6" s="14">
        <v>2143433</v>
      </c>
      <c r="Q6" s="14"/>
      <c r="R6" s="14">
        <v>2081721</v>
      </c>
    </row>
    <row r="7" spans="1:18" x14ac:dyDescent="0.3">
      <c r="A7" s="3" t="s">
        <v>2</v>
      </c>
      <c r="B7" s="12">
        <f>818368+826853</f>
        <v>1645221</v>
      </c>
      <c r="C7">
        <f>858281+828022</f>
        <v>1686303</v>
      </c>
      <c r="D7">
        <f>858708+827973</f>
        <v>1686681</v>
      </c>
      <c r="E7">
        <f>875683+829657</f>
        <v>1705340</v>
      </c>
      <c r="F7">
        <f>893301+848131</f>
        <v>1741432</v>
      </c>
      <c r="G7" s="9">
        <v>1766313</v>
      </c>
      <c r="H7" s="9">
        <v>1814242</v>
      </c>
      <c r="I7" s="9">
        <v>1865608</v>
      </c>
      <c r="J7" s="9">
        <v>1912686</v>
      </c>
      <c r="K7">
        <v>1953754</v>
      </c>
      <c r="L7">
        <v>1975773</v>
      </c>
      <c r="M7">
        <v>2016827</v>
      </c>
      <c r="N7" s="14">
        <v>2037658</v>
      </c>
      <c r="O7" s="14">
        <v>2053772</v>
      </c>
      <c r="P7" s="14">
        <v>2099228</v>
      </c>
      <c r="Q7" s="14"/>
      <c r="R7" s="14">
        <v>2158231</v>
      </c>
    </row>
    <row r="8" spans="1:18" x14ac:dyDescent="0.3">
      <c r="A8" s="3" t="s">
        <v>3</v>
      </c>
      <c r="B8">
        <f>1635268+1662013</f>
        <v>3297281</v>
      </c>
      <c r="C8">
        <f>1732982+1714655</f>
        <v>3447637</v>
      </c>
      <c r="D8">
        <f>1747808+1715905</f>
        <v>3463713</v>
      </c>
      <c r="E8">
        <f>1758182+1718133</f>
        <v>3476315</v>
      </c>
      <c r="F8">
        <f>1732312+1690878</f>
        <v>3423190</v>
      </c>
      <c r="G8" s="9">
        <v>3479592</v>
      </c>
      <c r="H8" s="9">
        <v>3512490</v>
      </c>
      <c r="I8" s="9">
        <v>3559090</v>
      </c>
      <c r="J8" s="9">
        <v>3590709</v>
      </c>
      <c r="K8">
        <v>3660268</v>
      </c>
      <c r="L8">
        <v>3725435</v>
      </c>
      <c r="M8">
        <v>3748838</v>
      </c>
      <c r="N8" s="14">
        <v>3833039</v>
      </c>
      <c r="O8" s="14">
        <v>3910623</v>
      </c>
      <c r="P8" s="14">
        <v>3959419</v>
      </c>
      <c r="Q8" s="14"/>
      <c r="R8" s="14">
        <v>4142711</v>
      </c>
    </row>
    <row r="9" spans="1:18" x14ac:dyDescent="0.3">
      <c r="A9" s="3" t="s">
        <v>4</v>
      </c>
      <c r="B9">
        <f>1489786+1541964</f>
        <v>3031750</v>
      </c>
      <c r="C9">
        <f>1579768+1591938</f>
        <v>3171706</v>
      </c>
      <c r="D9">
        <f>1608914+1628061</f>
        <v>3236975</v>
      </c>
      <c r="E9">
        <f>1635750+1657493</f>
        <v>3293243</v>
      </c>
      <c r="F9">
        <f>1665505+1676689</f>
        <v>3342194</v>
      </c>
      <c r="G9" s="9">
        <v>3443947</v>
      </c>
      <c r="H9" s="9">
        <v>3449260</v>
      </c>
      <c r="I9" s="9">
        <v>3442036</v>
      </c>
      <c r="J9" s="9">
        <v>3440186</v>
      </c>
      <c r="K9">
        <v>3462983</v>
      </c>
      <c r="L9">
        <v>3496526</v>
      </c>
      <c r="M9">
        <v>3500664</v>
      </c>
      <c r="N9" s="14">
        <v>3539389</v>
      </c>
      <c r="O9" s="14">
        <v>3550999</v>
      </c>
      <c r="P9" s="14">
        <v>3556845</v>
      </c>
      <c r="Q9" s="14"/>
      <c r="R9" s="14">
        <v>3627516</v>
      </c>
    </row>
    <row r="10" spans="1:18" x14ac:dyDescent="0.3">
      <c r="A10" s="3" t="s">
        <v>5</v>
      </c>
      <c r="B10">
        <f>561647+603139</f>
        <v>1164786</v>
      </c>
      <c r="C10">
        <f>611467+643002</f>
        <v>1254469</v>
      </c>
      <c r="D10">
        <f>615976+649634</f>
        <v>1265610</v>
      </c>
      <c r="E10">
        <f>625552+669464</f>
        <v>1295016</v>
      </c>
      <c r="F10">
        <f>643925+687198</f>
        <v>1331123</v>
      </c>
      <c r="G10" s="9">
        <v>1423708</v>
      </c>
      <c r="H10" s="9">
        <v>1465217</v>
      </c>
      <c r="I10" s="9">
        <v>1515080</v>
      </c>
      <c r="J10" s="9">
        <v>1572076</v>
      </c>
      <c r="K10">
        <v>1607185</v>
      </c>
      <c r="L10">
        <v>1631946</v>
      </c>
      <c r="M10">
        <v>1668559</v>
      </c>
      <c r="N10" s="14">
        <v>1673649</v>
      </c>
      <c r="O10" s="14">
        <v>1694490</v>
      </c>
      <c r="P10" s="14">
        <v>1689099</v>
      </c>
      <c r="Q10" s="14"/>
      <c r="R10" s="14">
        <v>1694061</v>
      </c>
    </row>
    <row r="11" spans="1:18" x14ac:dyDescent="0.3">
      <c r="A11" s="3" t="s">
        <v>6</v>
      </c>
      <c r="B11">
        <f>180011+197601</f>
        <v>377612</v>
      </c>
      <c r="C11">
        <f>186661+202296</f>
        <v>388957</v>
      </c>
      <c r="D11">
        <f>217302+227482</f>
        <v>444784</v>
      </c>
      <c r="E11">
        <f>241605+251284</f>
        <v>492889</v>
      </c>
      <c r="F11">
        <f>235221+249972</f>
        <v>485193</v>
      </c>
      <c r="G11" s="9">
        <v>515649</v>
      </c>
      <c r="H11" s="9">
        <v>524031</v>
      </c>
      <c r="I11" s="9">
        <v>529935</v>
      </c>
      <c r="J11" s="9">
        <v>563243</v>
      </c>
      <c r="K11">
        <v>582431</v>
      </c>
      <c r="L11">
        <v>609807</v>
      </c>
      <c r="M11">
        <v>610213</v>
      </c>
      <c r="N11" s="14">
        <v>638277</v>
      </c>
      <c r="O11" s="14">
        <v>648814</v>
      </c>
      <c r="P11" s="14">
        <v>656257</v>
      </c>
      <c r="Q11" s="14"/>
      <c r="R11" s="14">
        <v>677948</v>
      </c>
    </row>
    <row r="12" spans="1:18" x14ac:dyDescent="0.3">
      <c r="A12" s="3" t="s">
        <v>7</v>
      </c>
      <c r="B12">
        <f>238781+252856</f>
        <v>491637</v>
      </c>
      <c r="C12">
        <f>250841+275227</f>
        <v>526068</v>
      </c>
      <c r="D12">
        <f>261645+292450</f>
        <v>554095</v>
      </c>
      <c r="E12">
        <f>274016+294231</f>
        <v>568247</v>
      </c>
      <c r="F12">
        <f>298089+318830</f>
        <v>616919</v>
      </c>
      <c r="G12" s="9">
        <v>682742</v>
      </c>
      <c r="H12" s="9">
        <v>744169</v>
      </c>
      <c r="I12" s="9">
        <v>755001</v>
      </c>
      <c r="J12" s="9">
        <v>736056</v>
      </c>
      <c r="K12">
        <v>774278</v>
      </c>
      <c r="L12">
        <v>809776</v>
      </c>
      <c r="M12">
        <v>832573</v>
      </c>
      <c r="N12" s="14">
        <v>876761</v>
      </c>
      <c r="O12" s="14">
        <v>890612</v>
      </c>
      <c r="P12" s="14">
        <v>929542</v>
      </c>
      <c r="Q12" s="14"/>
      <c r="R12" s="14">
        <v>950089</v>
      </c>
    </row>
    <row r="13" spans="1:18" x14ac:dyDescent="0.3">
      <c r="A13" s="4" t="s">
        <v>32</v>
      </c>
      <c r="B13" s="15">
        <f t="shared" ref="B13:K13" si="0">SUM(B3:B5)</f>
        <v>2864133</v>
      </c>
      <c r="C13" s="15">
        <f t="shared" si="0"/>
        <v>3152343</v>
      </c>
      <c r="D13" s="15">
        <f t="shared" si="0"/>
        <v>3153062</v>
      </c>
      <c r="E13" s="15">
        <f t="shared" si="0"/>
        <v>3192497</v>
      </c>
      <c r="F13" s="15">
        <f t="shared" si="0"/>
        <v>3055438</v>
      </c>
      <c r="G13" s="15">
        <f t="shared" si="0"/>
        <v>3351086</v>
      </c>
      <c r="H13" s="15">
        <f t="shared" si="0"/>
        <v>3381298</v>
      </c>
      <c r="I13" s="15">
        <f t="shared" si="0"/>
        <v>3437739</v>
      </c>
      <c r="J13" s="15">
        <f t="shared" si="0"/>
        <v>3494383</v>
      </c>
      <c r="K13" s="15">
        <f t="shared" si="0"/>
        <v>3517858</v>
      </c>
      <c r="L13" s="15">
        <f>SUM(L3:L5)</f>
        <v>3570387</v>
      </c>
      <c r="M13" s="15">
        <f>SUM(M3:M5)</f>
        <v>3593027</v>
      </c>
      <c r="N13" s="15">
        <v>3612387</v>
      </c>
      <c r="O13" s="15">
        <v>3640826</v>
      </c>
      <c r="P13" s="15">
        <v>3653062</v>
      </c>
      <c r="Q13" s="15">
        <f t="shared" ref="Q13:R13" si="1">SUM(Q3:Q5)</f>
        <v>0</v>
      </c>
      <c r="R13" s="15">
        <f t="shared" si="1"/>
        <v>3709335</v>
      </c>
    </row>
    <row r="14" spans="1:18" x14ac:dyDescent="0.3">
      <c r="A14" s="4" t="s">
        <v>8</v>
      </c>
      <c r="B14" s="15">
        <f t="shared" ref="B14:K14" si="2">SUM(B6:B12)</f>
        <v>11624006</v>
      </c>
      <c r="C14" s="15">
        <f t="shared" si="2"/>
        <v>12222252</v>
      </c>
      <c r="D14" s="15">
        <f t="shared" si="2"/>
        <v>12446518</v>
      </c>
      <c r="E14" s="15">
        <f t="shared" si="2"/>
        <v>12657387</v>
      </c>
      <c r="F14" s="15">
        <f t="shared" si="2"/>
        <v>12826559</v>
      </c>
      <c r="G14" s="15">
        <f t="shared" si="2"/>
        <v>12937405</v>
      </c>
      <c r="H14" s="15">
        <f t="shared" si="2"/>
        <v>13366566</v>
      </c>
      <c r="I14" s="15">
        <f t="shared" si="2"/>
        <v>13552657</v>
      </c>
      <c r="J14" s="15">
        <f t="shared" si="2"/>
        <v>13707129</v>
      </c>
      <c r="K14" s="15">
        <f t="shared" si="2"/>
        <v>13991875</v>
      </c>
      <c r="L14" s="15">
        <f>SUM(L6:L12)</f>
        <v>14251354</v>
      </c>
      <c r="M14" s="15">
        <f>SUM(M6:M12)</f>
        <v>14422437</v>
      </c>
      <c r="N14" s="15">
        <v>14683854</v>
      </c>
      <c r="O14" s="15">
        <v>14877498</v>
      </c>
      <c r="P14" s="15">
        <v>15033823</v>
      </c>
      <c r="Q14" s="15">
        <f t="shared" ref="Q14:R14" si="3">SUM(Q6:Q12)</f>
        <v>0</v>
      </c>
      <c r="R14" s="15">
        <f t="shared" si="3"/>
        <v>15332277</v>
      </c>
    </row>
    <row r="15" spans="1:18" x14ac:dyDescent="0.3">
      <c r="A15" s="3" t="s">
        <v>24</v>
      </c>
      <c r="B15">
        <v>403751</v>
      </c>
      <c r="C15">
        <v>447311</v>
      </c>
      <c r="D15">
        <v>455555</v>
      </c>
      <c r="E15">
        <v>490305</v>
      </c>
      <c r="F15">
        <v>414392</v>
      </c>
      <c r="G15">
        <v>557313</v>
      </c>
      <c r="H15">
        <v>368279</v>
      </c>
      <c r="I15">
        <v>391219</v>
      </c>
      <c r="J15">
        <v>411377</v>
      </c>
      <c r="K15">
        <v>431149</v>
      </c>
      <c r="L15">
        <f t="shared" ref="L15" si="4">SUM(J15,J103)</f>
        <v>411377</v>
      </c>
      <c r="M15">
        <v>447091</v>
      </c>
      <c r="N15" s="14">
        <v>451197</v>
      </c>
      <c r="O15" s="14">
        <v>478815</v>
      </c>
      <c r="P15" s="14">
        <v>508067</v>
      </c>
      <c r="Q15" s="14"/>
      <c r="R15" s="14">
        <v>501393</v>
      </c>
    </row>
    <row r="16" spans="1:18" x14ac:dyDescent="0.3">
      <c r="A16" s="3" t="s">
        <v>22</v>
      </c>
      <c r="B16">
        <v>383932</v>
      </c>
      <c r="C16">
        <v>428717</v>
      </c>
      <c r="D16">
        <v>430914</v>
      </c>
      <c r="E16">
        <v>442538</v>
      </c>
      <c r="F16">
        <v>425615</v>
      </c>
      <c r="G16">
        <v>417018</v>
      </c>
      <c r="H16">
        <v>446196</v>
      </c>
      <c r="I16">
        <v>446848</v>
      </c>
      <c r="J16">
        <v>459603</v>
      </c>
      <c r="K16">
        <v>490011</v>
      </c>
      <c r="L16">
        <v>478123</v>
      </c>
      <c r="M16">
        <v>480084</v>
      </c>
      <c r="N16" s="14">
        <v>496847</v>
      </c>
      <c r="O16" s="14">
        <v>483422</v>
      </c>
      <c r="P16" s="14">
        <v>498542</v>
      </c>
      <c r="Q16" s="14"/>
      <c r="R16" s="14">
        <v>470804</v>
      </c>
    </row>
    <row r="17" spans="1:18" x14ac:dyDescent="0.3">
      <c r="A17" s="3" t="s">
        <v>23</v>
      </c>
      <c r="B17">
        <v>661538</v>
      </c>
      <c r="C17">
        <v>669279</v>
      </c>
      <c r="D17">
        <v>678541</v>
      </c>
      <c r="E17">
        <v>701622</v>
      </c>
      <c r="F17">
        <v>698623</v>
      </c>
      <c r="G17">
        <v>686836</v>
      </c>
      <c r="H17">
        <v>708109</v>
      </c>
      <c r="I17">
        <v>725549</v>
      </c>
      <c r="J17">
        <v>756114</v>
      </c>
      <c r="K17">
        <v>781315</v>
      </c>
      <c r="L17">
        <v>807199</v>
      </c>
      <c r="M17">
        <v>814034</v>
      </c>
      <c r="N17" s="14">
        <v>798513</v>
      </c>
      <c r="O17" s="14">
        <v>817721</v>
      </c>
      <c r="P17" s="14">
        <v>840572</v>
      </c>
      <c r="Q17" s="14"/>
      <c r="R17" s="14">
        <v>824005</v>
      </c>
    </row>
    <row r="18" spans="1:18" x14ac:dyDescent="0.3">
      <c r="A18" s="3" t="s">
        <v>9</v>
      </c>
      <c r="B18">
        <f>670518+497815</f>
        <v>1168333</v>
      </c>
      <c r="C18">
        <f>714014+538656</f>
        <v>1252670</v>
      </c>
      <c r="D18">
        <f>750101+570256</f>
        <v>1320357</v>
      </c>
      <c r="E18">
        <f>779875+592612</f>
        <v>1372487</v>
      </c>
      <c r="F18">
        <f>742099+618194</f>
        <v>1360293</v>
      </c>
      <c r="G18" s="9">
        <v>1316557</v>
      </c>
      <c r="H18" s="9">
        <v>1328434</v>
      </c>
      <c r="I18" s="9">
        <v>1350905</v>
      </c>
      <c r="J18" s="9">
        <v>1402324</v>
      </c>
      <c r="K18">
        <v>1444682</v>
      </c>
      <c r="L18">
        <v>1497276</v>
      </c>
      <c r="M18">
        <v>1533270</v>
      </c>
      <c r="N18" s="14">
        <v>1571188</v>
      </c>
      <c r="O18" s="14">
        <v>1624757</v>
      </c>
      <c r="P18" s="14">
        <v>1648263</v>
      </c>
      <c r="Q18" s="14"/>
      <c r="R18" s="14">
        <v>1551404</v>
      </c>
    </row>
    <row r="19" spans="1:18" x14ac:dyDescent="0.3">
      <c r="A19" s="3" t="s">
        <v>10</v>
      </c>
      <c r="B19">
        <f>704461+513843</f>
        <v>1218304</v>
      </c>
      <c r="C19">
        <f>718995+542525</f>
        <v>1261520</v>
      </c>
      <c r="D19">
        <f>724071+533330</f>
        <v>1257401</v>
      </c>
      <c r="E19">
        <f>744846+562442</f>
        <v>1307288</v>
      </c>
      <c r="F19">
        <f>740933+564509</f>
        <v>1305442</v>
      </c>
      <c r="G19" s="9">
        <v>1294505</v>
      </c>
      <c r="H19" s="9">
        <v>1313040</v>
      </c>
      <c r="I19" s="9">
        <v>1370922</v>
      </c>
      <c r="J19" s="9">
        <v>1424235</v>
      </c>
      <c r="K19">
        <v>1472207</v>
      </c>
      <c r="L19">
        <v>1479058</v>
      </c>
      <c r="M19">
        <v>1525291</v>
      </c>
      <c r="N19" s="14">
        <v>1559530</v>
      </c>
      <c r="O19" s="14">
        <v>1579490</v>
      </c>
      <c r="P19" s="14">
        <v>1629631</v>
      </c>
      <c r="Q19" s="14"/>
      <c r="R19" s="14">
        <v>1648599</v>
      </c>
    </row>
    <row r="20" spans="1:18" x14ac:dyDescent="0.3">
      <c r="A20" s="3" t="s">
        <v>11</v>
      </c>
      <c r="B20">
        <f>1404976+1119095</f>
        <v>2524071</v>
      </c>
      <c r="C20">
        <f>1465346+1165960</f>
        <v>2631306</v>
      </c>
      <c r="D20">
        <f>1469860+1171147</f>
        <v>2641007</v>
      </c>
      <c r="E20">
        <f>1525002+1207737</f>
        <v>2732739</v>
      </c>
      <c r="F20">
        <f>1439544+1171664</f>
        <v>2611208</v>
      </c>
      <c r="G20" s="9">
        <v>2604726</v>
      </c>
      <c r="H20" s="9">
        <v>2666569</v>
      </c>
      <c r="I20" s="9">
        <v>2698902</v>
      </c>
      <c r="J20" s="9">
        <v>2738164</v>
      </c>
      <c r="K20">
        <v>2800309</v>
      </c>
      <c r="L20">
        <v>2857883</v>
      </c>
      <c r="M20">
        <v>2902608</v>
      </c>
      <c r="N20" s="14">
        <v>2959532</v>
      </c>
      <c r="O20" s="14">
        <v>3040356</v>
      </c>
      <c r="P20" s="14">
        <v>3108140</v>
      </c>
      <c r="Q20" s="14"/>
      <c r="R20" s="14">
        <v>3177825</v>
      </c>
    </row>
    <row r="21" spans="1:18" x14ac:dyDescent="0.3">
      <c r="A21" s="3" t="s">
        <v>12</v>
      </c>
      <c r="B21">
        <f>1237524+1049734</f>
        <v>2287258</v>
      </c>
      <c r="C21">
        <f>1305806+1094298</f>
        <v>2400104</v>
      </c>
      <c r="D21">
        <f>1334653+1118428</f>
        <v>2453081</v>
      </c>
      <c r="E21">
        <f>1379640+1168943</f>
        <v>2548583</v>
      </c>
      <c r="F21">
        <f>1349478+1168650</f>
        <v>2518128</v>
      </c>
      <c r="G21" s="9">
        <v>2563482</v>
      </c>
      <c r="H21" s="9">
        <v>2563188</v>
      </c>
      <c r="I21" s="9">
        <v>2570124</v>
      </c>
      <c r="J21" s="9">
        <v>2588303</v>
      </c>
      <c r="K21">
        <v>2605000</v>
      </c>
      <c r="L21">
        <v>2655923</v>
      </c>
      <c r="M21">
        <v>2655511</v>
      </c>
      <c r="N21" s="14">
        <v>2714156</v>
      </c>
      <c r="O21" s="14">
        <v>2728800</v>
      </c>
      <c r="P21" s="14">
        <v>2751648</v>
      </c>
      <c r="Q21" s="14"/>
      <c r="R21" s="14">
        <v>2787761</v>
      </c>
    </row>
    <row r="22" spans="1:18" x14ac:dyDescent="0.3">
      <c r="A22" s="3" t="s">
        <v>13</v>
      </c>
      <c r="B22">
        <f>417683+349219</f>
        <v>766902</v>
      </c>
      <c r="C22">
        <f>454596+378343</f>
        <v>832939</v>
      </c>
      <c r="D22">
        <f>455806+384753</f>
        <v>840559</v>
      </c>
      <c r="E22">
        <f>480310+414073</f>
        <v>894383</v>
      </c>
      <c r="F22">
        <f>476501+416180</f>
        <v>892681</v>
      </c>
      <c r="G22" s="9">
        <v>955512</v>
      </c>
      <c r="H22" s="9">
        <v>970836</v>
      </c>
      <c r="I22" s="9">
        <v>1011141</v>
      </c>
      <c r="J22" s="9">
        <v>1068675</v>
      </c>
      <c r="K22">
        <v>1097527</v>
      </c>
      <c r="L22">
        <v>1110244</v>
      </c>
      <c r="M22">
        <v>1153498</v>
      </c>
      <c r="N22" s="14">
        <v>1157697</v>
      </c>
      <c r="O22" s="14">
        <v>1173698</v>
      </c>
      <c r="P22" s="14">
        <v>1193261</v>
      </c>
      <c r="Q22" s="14"/>
      <c r="R22" s="14">
        <v>1176007</v>
      </c>
    </row>
    <row r="23" spans="1:18" x14ac:dyDescent="0.3">
      <c r="A23" s="3" t="s">
        <v>14</v>
      </c>
      <c r="B23">
        <f>115777+92197</f>
        <v>207974</v>
      </c>
      <c r="C23">
        <f>121243+99327</f>
        <v>220570</v>
      </c>
      <c r="D23">
        <f>144144+110177</f>
        <v>254321</v>
      </c>
      <c r="E23">
        <f>161439+133729</f>
        <v>295168</v>
      </c>
      <c r="F23">
        <f>150460+127507</f>
        <v>277967</v>
      </c>
      <c r="G23" s="9">
        <v>305239</v>
      </c>
      <c r="H23" s="9">
        <v>299653</v>
      </c>
      <c r="I23" s="9">
        <v>310395</v>
      </c>
      <c r="J23" s="9">
        <v>332692</v>
      </c>
      <c r="K23">
        <v>348434</v>
      </c>
      <c r="L23">
        <v>363695</v>
      </c>
      <c r="M23">
        <v>373151</v>
      </c>
      <c r="N23" s="14">
        <v>393682</v>
      </c>
      <c r="O23" s="14">
        <v>406407</v>
      </c>
      <c r="P23" s="14">
        <v>416496</v>
      </c>
      <c r="Q23" s="14"/>
      <c r="R23" s="14">
        <v>421897</v>
      </c>
    </row>
    <row r="24" spans="1:18" x14ac:dyDescent="0.3">
      <c r="A24" s="3" t="s">
        <v>15</v>
      </c>
      <c r="B24">
        <f>127004+95840</f>
        <v>222844</v>
      </c>
      <c r="C24">
        <f>133372+103646</f>
        <v>237018</v>
      </c>
      <c r="D24">
        <f>138883+111218</f>
        <v>250101</v>
      </c>
      <c r="E24">
        <f>152712+116493</f>
        <v>269205</v>
      </c>
      <c r="F24">
        <f>163008+128033</f>
        <v>291041</v>
      </c>
      <c r="G24" s="9">
        <v>317710</v>
      </c>
      <c r="H24" s="9">
        <v>344938</v>
      </c>
      <c r="I24" s="9">
        <v>358379</v>
      </c>
      <c r="J24" s="9">
        <v>353277</v>
      </c>
      <c r="K24">
        <v>375136</v>
      </c>
      <c r="L24">
        <v>410019</v>
      </c>
      <c r="M24">
        <v>417495</v>
      </c>
      <c r="N24" s="14">
        <v>448003</v>
      </c>
      <c r="O24" s="14">
        <v>453786</v>
      </c>
      <c r="P24" s="14">
        <v>502227</v>
      </c>
      <c r="Q24" s="14"/>
      <c r="R24" s="14">
        <v>491817</v>
      </c>
    </row>
    <row r="25" spans="1:18" x14ac:dyDescent="0.3">
      <c r="A25" s="4" t="s">
        <v>33</v>
      </c>
      <c r="B25" s="15">
        <f t="shared" ref="B25:K25" si="5">SUM(B15:B17)</f>
        <v>1449221</v>
      </c>
      <c r="C25" s="15">
        <f t="shared" si="5"/>
        <v>1545307</v>
      </c>
      <c r="D25" s="15">
        <f t="shared" si="5"/>
        <v>1565010</v>
      </c>
      <c r="E25" s="15">
        <f t="shared" si="5"/>
        <v>1634465</v>
      </c>
      <c r="F25" s="15">
        <f t="shared" si="5"/>
        <v>1538630</v>
      </c>
      <c r="G25" s="15">
        <f t="shared" si="5"/>
        <v>1661167</v>
      </c>
      <c r="H25" s="15">
        <f t="shared" si="5"/>
        <v>1522584</v>
      </c>
      <c r="I25" s="15">
        <f t="shared" si="5"/>
        <v>1563616</v>
      </c>
      <c r="J25" s="15">
        <f t="shared" si="5"/>
        <v>1627094</v>
      </c>
      <c r="K25" s="15">
        <f t="shared" si="5"/>
        <v>1702475</v>
      </c>
      <c r="L25" s="15">
        <f>SUM(L15:L17)</f>
        <v>1696699</v>
      </c>
      <c r="M25" s="15">
        <f>SUM(M15:M17)</f>
        <v>1741209</v>
      </c>
      <c r="N25" s="15">
        <v>1746557</v>
      </c>
      <c r="O25" s="15">
        <v>1779958</v>
      </c>
      <c r="P25" s="15">
        <v>1847181</v>
      </c>
      <c r="Q25" s="15">
        <f t="shared" ref="Q25:R25" si="6">SUM(Q15:Q17)</f>
        <v>0</v>
      </c>
      <c r="R25" s="15">
        <f t="shared" si="6"/>
        <v>1796202</v>
      </c>
    </row>
    <row r="26" spans="1:18" x14ac:dyDescent="0.3">
      <c r="A26" s="4" t="s">
        <v>16</v>
      </c>
      <c r="B26" s="15">
        <f t="shared" ref="B26:K26" si="7">SUM(B18:B24)</f>
        <v>8395686</v>
      </c>
      <c r="C26" s="15">
        <f t="shared" si="7"/>
        <v>8836127</v>
      </c>
      <c r="D26" s="15">
        <f t="shared" si="7"/>
        <v>9016827</v>
      </c>
      <c r="E26" s="15">
        <f t="shared" si="7"/>
        <v>9419853</v>
      </c>
      <c r="F26" s="15">
        <f t="shared" si="7"/>
        <v>9256760</v>
      </c>
      <c r="G26" s="15">
        <f t="shared" si="7"/>
        <v>9357731</v>
      </c>
      <c r="H26" s="15">
        <f t="shared" si="7"/>
        <v>9486658</v>
      </c>
      <c r="I26" s="15">
        <f t="shared" si="7"/>
        <v>9670768</v>
      </c>
      <c r="J26" s="15">
        <f t="shared" si="7"/>
        <v>9907670</v>
      </c>
      <c r="K26" s="15">
        <f t="shared" si="7"/>
        <v>10143295</v>
      </c>
      <c r="L26" s="15">
        <f>SUM(L18:L24)</f>
        <v>10374098</v>
      </c>
      <c r="M26" s="15">
        <f>SUM(M18:M24)</f>
        <v>10560824</v>
      </c>
      <c r="N26" s="15">
        <v>10803788</v>
      </c>
      <c r="O26" s="15">
        <v>11007294</v>
      </c>
      <c r="P26" s="15">
        <v>11249666</v>
      </c>
      <c r="Q26" s="15">
        <f t="shared" ref="Q26:R26" si="8">SUM(Q18:Q24)</f>
        <v>0</v>
      </c>
      <c r="R26" s="15">
        <f t="shared" si="8"/>
        <v>11255310</v>
      </c>
    </row>
    <row r="27" spans="1:18" ht="28.8" x14ac:dyDescent="0.3">
      <c r="A27" s="4" t="s">
        <v>31</v>
      </c>
      <c r="B27" s="10">
        <f t="shared" ref="B27:K27" si="9">B25/B13</f>
        <v>0.50598942158063187</v>
      </c>
      <c r="C27" s="10">
        <f t="shared" si="9"/>
        <v>0.4902090286494839</v>
      </c>
      <c r="D27" s="10">
        <f t="shared" si="9"/>
        <v>0.49634609151358267</v>
      </c>
      <c r="E27" s="10">
        <f t="shared" si="9"/>
        <v>0.51197072385659248</v>
      </c>
      <c r="F27" s="10">
        <f t="shared" si="9"/>
        <v>0.50357101011377092</v>
      </c>
      <c r="G27" s="10">
        <f t="shared" si="9"/>
        <v>0.4957100474294005</v>
      </c>
      <c r="H27" s="10">
        <f t="shared" si="9"/>
        <v>0.45029571484086878</v>
      </c>
      <c r="I27" s="10">
        <f t="shared" si="9"/>
        <v>0.45483848541148703</v>
      </c>
      <c r="J27" s="10">
        <f t="shared" si="9"/>
        <v>0.46563127167228091</v>
      </c>
      <c r="K27" s="10">
        <f t="shared" si="9"/>
        <v>0.48395216634668026</v>
      </c>
      <c r="L27" s="10">
        <f>L25/L13</f>
        <v>0.47521431150180637</v>
      </c>
      <c r="M27" s="10">
        <f>M25/M13</f>
        <v>0.48460782510123079</v>
      </c>
      <c r="N27" s="10">
        <v>0.48349110989492544</v>
      </c>
      <c r="O27" s="10">
        <v>0.48888851046438364</v>
      </c>
      <c r="P27" s="10">
        <v>0.50565279209605529</v>
      </c>
      <c r="Q27" s="10" t="e">
        <f t="shared" ref="Q27:R28" si="10">Q25/Q13</f>
        <v>#DIV/0!</v>
      </c>
      <c r="R27" s="10">
        <f t="shared" si="10"/>
        <v>0.48423827990731494</v>
      </c>
    </row>
    <row r="28" spans="1:18" ht="28.8" x14ac:dyDescent="0.3">
      <c r="A28" s="6" t="s">
        <v>17</v>
      </c>
      <c r="B28" s="7">
        <f t="shared" ref="B28:J28" si="11">B26/B14</f>
        <v>0.72227130646697879</v>
      </c>
      <c r="C28" s="7">
        <f t="shared" si="11"/>
        <v>0.72295408407550421</v>
      </c>
      <c r="D28" s="7">
        <f t="shared" si="11"/>
        <v>0.72444574458495137</v>
      </c>
      <c r="E28" s="7">
        <f t="shared" si="11"/>
        <v>0.74421782315733886</v>
      </c>
      <c r="F28" s="7">
        <f t="shared" si="11"/>
        <v>0.7216869309999665</v>
      </c>
      <c r="G28" s="7">
        <f t="shared" si="11"/>
        <v>0.72330819047560158</v>
      </c>
      <c r="H28" s="7">
        <f t="shared" si="11"/>
        <v>0.7097303825081176</v>
      </c>
      <c r="I28" s="7">
        <f t="shared" si="11"/>
        <v>0.71356989260482284</v>
      </c>
      <c r="J28" s="7">
        <f t="shared" si="11"/>
        <v>0.72281146547902186</v>
      </c>
      <c r="K28" s="16">
        <f>K26/K14</f>
        <v>0.72494179657837132</v>
      </c>
      <c r="L28" s="16">
        <f>L26/L14</f>
        <v>0.72793771033966315</v>
      </c>
      <c r="M28" s="16">
        <f>M26/M14</f>
        <v>0.73224961911776765</v>
      </c>
      <c r="N28" s="10">
        <v>0.73575969905448524</v>
      </c>
      <c r="O28" s="10">
        <v>0.73986190419921416</v>
      </c>
      <c r="P28" s="10">
        <v>0.74829043816732443</v>
      </c>
      <c r="Q28" s="10" t="e">
        <f t="shared" si="10"/>
        <v>#DIV/0!</v>
      </c>
      <c r="R28" s="10">
        <f t="shared" si="10"/>
        <v>0.7340925291135818</v>
      </c>
    </row>
    <row r="30" spans="1:18" x14ac:dyDescent="0.3">
      <c r="F30" s="11"/>
    </row>
    <row r="31" spans="1:18" x14ac:dyDescent="0.3">
      <c r="A31" t="s">
        <v>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topLeftCell="E1" workbookViewId="0">
      <selection activeCell="R25" sqref="R25:R28"/>
    </sheetView>
  </sheetViews>
  <sheetFormatPr defaultRowHeight="14.4" x14ac:dyDescent="0.3"/>
  <cols>
    <col min="1" max="1" width="27.88671875" customWidth="1"/>
    <col min="2" max="2" width="12.6640625" customWidth="1"/>
    <col min="3" max="3" width="12.44140625" customWidth="1"/>
    <col min="4" max="4" width="12.33203125" customWidth="1"/>
    <col min="5" max="5" width="12.88671875" customWidth="1"/>
    <col min="6" max="6" width="12.5546875" customWidth="1"/>
    <col min="7" max="7" width="12.44140625" customWidth="1"/>
    <col min="8" max="8" width="12.5546875" customWidth="1"/>
    <col min="9" max="9" width="12.44140625" customWidth="1"/>
    <col min="10" max="10" width="12.33203125" customWidth="1"/>
    <col min="11" max="11" width="12.5546875" customWidth="1"/>
    <col min="12" max="12" width="12.6640625" customWidth="1"/>
    <col min="13" max="13" width="12.33203125" customWidth="1"/>
    <col min="14" max="14" width="12.44140625" customWidth="1"/>
    <col min="15" max="15" width="12.77734375" customWidth="1"/>
    <col min="16" max="16" width="12.44140625" customWidth="1"/>
    <col min="18" max="18" width="12.77734375" customWidth="1"/>
  </cols>
  <sheetData>
    <row r="1" spans="1:18" ht="15.6" x14ac:dyDescent="0.3">
      <c r="A1" s="1" t="s">
        <v>28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  <c r="Q1" s="2">
        <v>2020</v>
      </c>
      <c r="R1" s="2">
        <v>2021</v>
      </c>
    </row>
    <row r="2" spans="1:18" x14ac:dyDescent="0.3">
      <c r="A2" s="3"/>
    </row>
    <row r="3" spans="1:18" x14ac:dyDescent="0.3">
      <c r="A3" s="3" t="s">
        <v>18</v>
      </c>
      <c r="B3" s="14">
        <v>15271218</v>
      </c>
      <c r="C3">
        <v>17355603</v>
      </c>
      <c r="D3">
        <v>17578723</v>
      </c>
      <c r="E3">
        <v>17723614</v>
      </c>
      <c r="F3">
        <v>17630099</v>
      </c>
      <c r="G3">
        <v>17881160</v>
      </c>
      <c r="H3">
        <v>17623804</v>
      </c>
      <c r="I3">
        <v>17406603</v>
      </c>
      <c r="J3">
        <v>17205476</v>
      </c>
      <c r="K3">
        <v>17165294</v>
      </c>
      <c r="L3" s="14">
        <v>17179518</v>
      </c>
      <c r="M3" s="14">
        <v>17302568</v>
      </c>
      <c r="N3" s="14">
        <v>17364110</v>
      </c>
      <c r="O3" s="14">
        <v>17309142</v>
      </c>
      <c r="P3" s="14">
        <v>17166913</v>
      </c>
      <c r="R3" s="14">
        <v>17481586</v>
      </c>
    </row>
    <row r="4" spans="1:18" x14ac:dyDescent="0.3">
      <c r="A4" s="3" t="s">
        <v>19</v>
      </c>
      <c r="B4" s="14">
        <v>7610579</v>
      </c>
      <c r="C4">
        <v>8901165</v>
      </c>
      <c r="D4">
        <v>8896985</v>
      </c>
      <c r="E4">
        <v>8868494</v>
      </c>
      <c r="F4">
        <v>9019519</v>
      </c>
      <c r="G4">
        <v>9241058</v>
      </c>
      <c r="H4">
        <v>9524009</v>
      </c>
      <c r="I4">
        <v>9576556</v>
      </c>
      <c r="J4">
        <v>9424444</v>
      </c>
      <c r="K4">
        <v>9303075</v>
      </c>
      <c r="L4" s="14">
        <v>9230841</v>
      </c>
      <c r="M4" s="14">
        <v>9076307</v>
      </c>
      <c r="N4" s="14">
        <v>9012509</v>
      </c>
      <c r="O4" s="14">
        <v>8909149</v>
      </c>
      <c r="P4" s="14">
        <v>8855098</v>
      </c>
      <c r="R4" s="14">
        <v>8779519</v>
      </c>
    </row>
    <row r="5" spans="1:18" x14ac:dyDescent="0.3">
      <c r="A5" s="3" t="s">
        <v>20</v>
      </c>
      <c r="B5" s="14">
        <v>11692258</v>
      </c>
      <c r="C5">
        <v>12054371</v>
      </c>
      <c r="D5">
        <v>12048495</v>
      </c>
      <c r="E5">
        <v>12142329</v>
      </c>
      <c r="F5">
        <v>10388578</v>
      </c>
      <c r="G5">
        <v>12421772</v>
      </c>
      <c r="H5">
        <v>12574628</v>
      </c>
      <c r="I5">
        <v>12886626</v>
      </c>
      <c r="J5">
        <v>13295464</v>
      </c>
      <c r="K5">
        <v>13394954</v>
      </c>
      <c r="L5" s="14">
        <v>13310236</v>
      </c>
      <c r="M5" s="14">
        <v>13096366</v>
      </c>
      <c r="N5" s="14">
        <v>12937546</v>
      </c>
      <c r="O5" s="14">
        <v>12808813</v>
      </c>
      <c r="P5" s="14">
        <v>12613582</v>
      </c>
      <c r="R5" s="14">
        <v>12603124</v>
      </c>
    </row>
    <row r="6" spans="1:18" x14ac:dyDescent="0.3">
      <c r="A6" s="3" t="s">
        <v>1</v>
      </c>
      <c r="B6" s="9">
        <v>19292979</v>
      </c>
      <c r="C6" s="9">
        <v>20332712</v>
      </c>
      <c r="D6" s="9">
        <v>20623714</v>
      </c>
      <c r="E6" s="13">
        <v>20926593</v>
      </c>
      <c r="F6" s="9">
        <v>21525218</v>
      </c>
      <c r="G6" s="9">
        <v>18190262</v>
      </c>
      <c r="H6" s="9">
        <v>21088906</v>
      </c>
      <c r="I6" s="9">
        <v>21247789</v>
      </c>
      <c r="J6" s="9">
        <v>21427256</v>
      </c>
      <c r="K6">
        <v>21839184</v>
      </c>
      <c r="L6" s="14">
        <v>22292402</v>
      </c>
      <c r="M6" s="14">
        <v>22687967</v>
      </c>
      <c r="N6" s="14">
        <v>23085789</v>
      </c>
      <c r="O6" s="14">
        <v>23320702</v>
      </c>
      <c r="P6" s="14">
        <v>23233299</v>
      </c>
      <c r="R6" s="14">
        <v>22100453</v>
      </c>
    </row>
    <row r="7" spans="1:18" x14ac:dyDescent="0.3">
      <c r="A7" s="3" t="s">
        <v>2</v>
      </c>
      <c r="B7" s="12">
        <v>19492495</v>
      </c>
      <c r="C7" s="9">
        <v>19572887</v>
      </c>
      <c r="D7" s="9">
        <v>19363339</v>
      </c>
      <c r="E7" s="13">
        <v>19392853</v>
      </c>
      <c r="F7" s="9">
        <v>19848359</v>
      </c>
      <c r="G7" s="9">
        <v>20019537</v>
      </c>
      <c r="H7" s="9">
        <v>20451440</v>
      </c>
      <c r="I7" s="9">
        <v>20853057</v>
      </c>
      <c r="J7" s="9">
        <v>21199299</v>
      </c>
      <c r="K7">
        <v>21483915</v>
      </c>
      <c r="L7" s="14">
        <v>21605430</v>
      </c>
      <c r="M7" s="14">
        <v>21702281</v>
      </c>
      <c r="N7" s="14">
        <v>21879946</v>
      </c>
      <c r="O7" s="14">
        <v>22023972</v>
      </c>
      <c r="P7" s="14">
        <v>22345176</v>
      </c>
      <c r="R7" s="14">
        <v>22978685</v>
      </c>
    </row>
    <row r="8" spans="1:18" x14ac:dyDescent="0.3">
      <c r="A8" s="3" t="s">
        <v>3</v>
      </c>
      <c r="B8" s="9">
        <v>43237594</v>
      </c>
      <c r="C8" s="9">
        <v>43892631</v>
      </c>
      <c r="D8" s="9">
        <v>43410417</v>
      </c>
      <c r="E8" s="13">
        <v>42744592</v>
      </c>
      <c r="F8" s="9">
        <v>41674213</v>
      </c>
      <c r="G8" s="9">
        <v>41192328</v>
      </c>
      <c r="H8" s="9">
        <v>40827710</v>
      </c>
      <c r="I8" s="9">
        <v>40698086</v>
      </c>
      <c r="J8" s="9">
        <v>40608235</v>
      </c>
      <c r="K8">
        <v>40751359</v>
      </c>
      <c r="L8" s="14">
        <v>40804130</v>
      </c>
      <c r="M8" s="14">
        <v>40655592</v>
      </c>
      <c r="N8" s="14">
        <v>41117905</v>
      </c>
      <c r="O8" s="14">
        <v>41498453</v>
      </c>
      <c r="P8" s="14">
        <v>41914845</v>
      </c>
      <c r="R8" s="14">
        <v>43733561</v>
      </c>
    </row>
    <row r="9" spans="1:18" x14ac:dyDescent="0.3">
      <c r="A9" s="3" t="s">
        <v>4</v>
      </c>
      <c r="B9" s="9">
        <v>42045357</v>
      </c>
      <c r="C9" s="9">
        <v>43325361</v>
      </c>
      <c r="D9" s="9">
        <v>43925234</v>
      </c>
      <c r="E9" s="13">
        <v>44435652</v>
      </c>
      <c r="F9" s="9">
        <v>44597268</v>
      </c>
      <c r="G9" s="9">
        <v>44929033</v>
      </c>
      <c r="H9" s="9">
        <v>44653387</v>
      </c>
      <c r="I9" s="9">
        <v>44204952</v>
      </c>
      <c r="J9" s="9">
        <v>43674983</v>
      </c>
      <c r="K9">
        <v>43353277</v>
      </c>
      <c r="L9" s="14">
        <v>43135580</v>
      </c>
      <c r="M9" s="14">
        <v>42755590</v>
      </c>
      <c r="N9" s="14">
        <v>42330955</v>
      </c>
      <c r="O9" s="14">
        <v>41605244</v>
      </c>
      <c r="P9" s="14">
        <v>40863107</v>
      </c>
      <c r="R9" s="14">
        <v>40673717</v>
      </c>
    </row>
    <row r="10" spans="1:18" x14ac:dyDescent="0.3">
      <c r="A10" s="3" t="s">
        <v>5</v>
      </c>
      <c r="B10" s="9">
        <v>17122367</v>
      </c>
      <c r="C10" s="9">
        <v>18049153</v>
      </c>
      <c r="D10" s="9">
        <v>18114598</v>
      </c>
      <c r="E10" s="13">
        <v>18443100</v>
      </c>
      <c r="F10" s="9">
        <v>18781293</v>
      </c>
      <c r="G10" s="9">
        <v>19682686</v>
      </c>
      <c r="H10" s="9">
        <v>20174311</v>
      </c>
      <c r="I10" s="9">
        <v>20622207</v>
      </c>
      <c r="J10" s="9">
        <v>21108252</v>
      </c>
      <c r="K10">
        <v>21314688</v>
      </c>
      <c r="L10" s="14">
        <v>21590716</v>
      </c>
      <c r="M10" s="14">
        <v>21714703</v>
      </c>
      <c r="N10" s="14">
        <v>21765184</v>
      </c>
      <c r="O10" s="14">
        <v>21624541</v>
      </c>
      <c r="P10" s="14">
        <v>21484060</v>
      </c>
      <c r="R10" s="14">
        <v>21141152</v>
      </c>
    </row>
    <row r="11" spans="1:18" x14ac:dyDescent="0.3">
      <c r="A11" s="3" t="s">
        <v>6</v>
      </c>
      <c r="B11" s="9">
        <v>5439781</v>
      </c>
      <c r="C11" s="9">
        <v>5616089</v>
      </c>
      <c r="D11" s="9">
        <v>6495434</v>
      </c>
      <c r="E11" s="13">
        <v>7175013</v>
      </c>
      <c r="F11" s="9">
        <v>7067830</v>
      </c>
      <c r="G11" s="9">
        <v>7222471</v>
      </c>
      <c r="H11" s="9">
        <v>7378189</v>
      </c>
      <c r="I11" s="9">
        <v>7539124</v>
      </c>
      <c r="J11" s="9">
        <v>7713282</v>
      </c>
      <c r="K11">
        <v>7931266</v>
      </c>
      <c r="L11" s="14">
        <v>8178916</v>
      </c>
      <c r="M11" s="14">
        <v>8282896</v>
      </c>
      <c r="N11" s="14">
        <v>8533950</v>
      </c>
      <c r="O11" s="14">
        <v>8604726</v>
      </c>
      <c r="P11" s="14">
        <v>8662421</v>
      </c>
      <c r="R11" s="14">
        <v>8876803</v>
      </c>
    </row>
    <row r="12" spans="1:18" x14ac:dyDescent="0.3">
      <c r="A12" s="3" t="s">
        <v>7</v>
      </c>
      <c r="B12" s="9">
        <v>7559659</v>
      </c>
      <c r="C12" s="9">
        <v>7952987</v>
      </c>
      <c r="D12" s="9">
        <v>8119075</v>
      </c>
      <c r="E12" s="13">
        <v>8099962</v>
      </c>
      <c r="F12" s="9">
        <v>8951554</v>
      </c>
      <c r="G12" s="9">
        <v>9856807</v>
      </c>
      <c r="H12" s="9">
        <v>10512701</v>
      </c>
      <c r="I12" s="9">
        <v>10425806</v>
      </c>
      <c r="J12" s="9">
        <v>10515318</v>
      </c>
      <c r="K12">
        <v>10837042</v>
      </c>
      <c r="L12" s="14">
        <v>11107509</v>
      </c>
      <c r="M12" s="14">
        <v>11461286</v>
      </c>
      <c r="N12" s="14">
        <v>11720642</v>
      </c>
      <c r="O12" s="14">
        <v>12058095</v>
      </c>
      <c r="P12" s="14">
        <v>12321632</v>
      </c>
      <c r="R12" s="14">
        <v>12797079</v>
      </c>
    </row>
    <row r="13" spans="1:18" x14ac:dyDescent="0.3">
      <c r="A13" s="4" t="s">
        <v>32</v>
      </c>
      <c r="B13" s="15">
        <f t="shared" ref="B13:K13" si="0">SUM(B3:B5)</f>
        <v>34574055</v>
      </c>
      <c r="C13" s="15">
        <f t="shared" si="0"/>
        <v>38311139</v>
      </c>
      <c r="D13" s="15">
        <f t="shared" si="0"/>
        <v>38524203</v>
      </c>
      <c r="E13" s="15">
        <f t="shared" si="0"/>
        <v>38734437</v>
      </c>
      <c r="F13" s="15">
        <f t="shared" si="0"/>
        <v>37038196</v>
      </c>
      <c r="G13" s="15">
        <f t="shared" si="0"/>
        <v>39543990</v>
      </c>
      <c r="H13" s="15">
        <f t="shared" si="0"/>
        <v>39722441</v>
      </c>
      <c r="I13" s="15">
        <f t="shared" si="0"/>
        <v>39869785</v>
      </c>
      <c r="J13" s="15">
        <f t="shared" si="0"/>
        <v>39925384</v>
      </c>
      <c r="K13" s="15">
        <f t="shared" si="0"/>
        <v>39863323</v>
      </c>
      <c r="L13" s="15">
        <f>SUM(L3:L5)</f>
        <v>39720595</v>
      </c>
      <c r="M13" s="15">
        <f>SUM(M3:M5)</f>
        <v>39475241</v>
      </c>
      <c r="N13" s="15">
        <f t="shared" ref="N13:P13" si="1">SUM(N3:N5)</f>
        <v>39314165</v>
      </c>
      <c r="O13" s="15">
        <f t="shared" si="1"/>
        <v>39027104</v>
      </c>
      <c r="P13" s="15">
        <f t="shared" si="1"/>
        <v>38635593</v>
      </c>
      <c r="Q13" s="15">
        <f t="shared" ref="Q13:R13" si="2">SUM(Q3:Q5)</f>
        <v>0</v>
      </c>
      <c r="R13" s="15">
        <f t="shared" si="2"/>
        <v>38864229</v>
      </c>
    </row>
    <row r="14" spans="1:18" x14ac:dyDescent="0.3">
      <c r="A14" s="4" t="s">
        <v>8</v>
      </c>
      <c r="B14" s="15">
        <f t="shared" ref="B14:K14" si="3">SUM(B6:B12)</f>
        <v>154190232</v>
      </c>
      <c r="C14" s="15">
        <f t="shared" si="3"/>
        <v>158741820</v>
      </c>
      <c r="D14" s="15">
        <f t="shared" si="3"/>
        <v>160051811</v>
      </c>
      <c r="E14" s="15">
        <f t="shared" si="3"/>
        <v>161217765</v>
      </c>
      <c r="F14" s="15">
        <f t="shared" si="3"/>
        <v>162445735</v>
      </c>
      <c r="G14" s="15">
        <f t="shared" si="3"/>
        <v>161093124</v>
      </c>
      <c r="H14" s="15">
        <f t="shared" si="3"/>
        <v>165086644</v>
      </c>
      <c r="I14" s="15">
        <f t="shared" si="3"/>
        <v>165591021</v>
      </c>
      <c r="J14" s="15">
        <f t="shared" si="3"/>
        <v>166246625</v>
      </c>
      <c r="K14" s="15">
        <f t="shared" si="3"/>
        <v>167510731</v>
      </c>
      <c r="L14" s="15">
        <f>SUM(L6:L12)</f>
        <v>168714683</v>
      </c>
      <c r="M14" s="15">
        <f>SUM(M6:M12)</f>
        <v>169260315</v>
      </c>
      <c r="N14" s="15">
        <f t="shared" ref="N14:P14" si="4">SUM(N6:N12)</f>
        <v>170434371</v>
      </c>
      <c r="O14" s="15">
        <f t="shared" si="4"/>
        <v>170735733</v>
      </c>
      <c r="P14" s="15">
        <f t="shared" si="4"/>
        <v>170824540</v>
      </c>
      <c r="Q14" s="15">
        <f t="shared" ref="Q14:R14" si="5">SUM(Q6:Q12)</f>
        <v>0</v>
      </c>
      <c r="R14" s="15">
        <f t="shared" si="5"/>
        <v>172301450</v>
      </c>
    </row>
    <row r="15" spans="1:18" x14ac:dyDescent="0.3">
      <c r="A15" s="3" t="s">
        <v>24</v>
      </c>
      <c r="B15" s="14">
        <v>5609214</v>
      </c>
      <c r="C15" s="14">
        <v>6095689</v>
      </c>
      <c r="D15" s="14">
        <v>6041694</v>
      </c>
      <c r="E15" s="14">
        <v>6084596</v>
      </c>
      <c r="F15" s="14">
        <v>5140798</v>
      </c>
      <c r="G15" s="14">
        <v>6309384</v>
      </c>
      <c r="H15" s="14">
        <v>4567557</v>
      </c>
      <c r="I15">
        <v>4673568</v>
      </c>
      <c r="J15">
        <v>4762106</v>
      </c>
      <c r="K15">
        <v>4935400</v>
      </c>
      <c r="L15" s="14">
        <v>5145053</v>
      </c>
      <c r="M15" s="14">
        <v>5351033</v>
      </c>
      <c r="N15" s="14">
        <v>5432317</v>
      </c>
      <c r="O15" s="14">
        <v>5539465</v>
      </c>
      <c r="P15" s="14">
        <v>5749171</v>
      </c>
      <c r="R15" s="14">
        <v>5878642</v>
      </c>
    </row>
    <row r="16" spans="1:18" x14ac:dyDescent="0.3">
      <c r="A16" s="3" t="s">
        <v>22</v>
      </c>
      <c r="B16" s="14">
        <v>4759021</v>
      </c>
      <c r="C16" s="14">
        <v>5370234</v>
      </c>
      <c r="D16" s="14">
        <v>5297725</v>
      </c>
      <c r="E16" s="14">
        <v>5382613</v>
      </c>
      <c r="F16" s="14">
        <v>4994918</v>
      </c>
      <c r="G16" s="14">
        <v>4944007</v>
      </c>
      <c r="H16" s="14">
        <v>5044016</v>
      </c>
      <c r="I16">
        <v>5186132</v>
      </c>
      <c r="J16">
        <v>5240976</v>
      </c>
      <c r="K16">
        <v>5331058</v>
      </c>
      <c r="L16" s="14">
        <v>5372302</v>
      </c>
      <c r="M16" s="14">
        <v>5414028</v>
      </c>
      <c r="N16" s="14">
        <v>5423432</v>
      </c>
      <c r="O16" s="14">
        <v>5361284</v>
      </c>
      <c r="P16" s="14">
        <v>5470277</v>
      </c>
      <c r="R16" s="14">
        <v>5186548</v>
      </c>
    </row>
    <row r="17" spans="1:18" x14ac:dyDescent="0.3">
      <c r="A17" s="3" t="s">
        <v>23</v>
      </c>
      <c r="B17" s="14">
        <v>8295650</v>
      </c>
      <c r="C17" s="14">
        <v>8421007</v>
      </c>
      <c r="D17" s="14">
        <v>8361791</v>
      </c>
      <c r="E17" s="14">
        <v>8530894</v>
      </c>
      <c r="F17" s="14">
        <v>8180190</v>
      </c>
      <c r="G17" s="14">
        <v>8013511</v>
      </c>
      <c r="H17" s="14">
        <v>8144983</v>
      </c>
      <c r="I17">
        <v>8434574</v>
      </c>
      <c r="J17">
        <v>8819296</v>
      </c>
      <c r="K17">
        <v>9093128</v>
      </c>
      <c r="L17" s="14">
        <v>9216957</v>
      </c>
      <c r="M17" s="14">
        <v>9207089</v>
      </c>
      <c r="N17" s="14">
        <v>9172722</v>
      </c>
      <c r="O17" s="14">
        <v>9177767</v>
      </c>
      <c r="P17" s="14">
        <v>9169598</v>
      </c>
      <c r="R17" s="14">
        <v>8775599</v>
      </c>
    </row>
    <row r="18" spans="1:18" x14ac:dyDescent="0.3">
      <c r="A18" s="3" t="s">
        <v>9</v>
      </c>
      <c r="B18" s="9">
        <v>14527445</v>
      </c>
      <c r="C18" s="9">
        <v>15218893</v>
      </c>
      <c r="D18" s="9">
        <v>15473813</v>
      </c>
      <c r="E18" s="13">
        <v>15959244</v>
      </c>
      <c r="F18" s="9">
        <v>15627907</v>
      </c>
      <c r="G18" s="9">
        <v>14948728</v>
      </c>
      <c r="H18" s="9">
        <v>15154198</v>
      </c>
      <c r="I18" s="9">
        <v>15420427</v>
      </c>
      <c r="J18" s="9">
        <v>15725549</v>
      </c>
      <c r="K18">
        <v>16212813</v>
      </c>
      <c r="L18" s="14">
        <v>16759134</v>
      </c>
      <c r="M18" s="14">
        <v>17274394</v>
      </c>
      <c r="N18" s="14">
        <v>17752197</v>
      </c>
      <c r="O18" s="14">
        <v>18153493</v>
      </c>
      <c r="P18" s="14">
        <v>18228488</v>
      </c>
      <c r="R18" s="14">
        <v>16824972</v>
      </c>
    </row>
    <row r="19" spans="1:18" x14ac:dyDescent="0.3">
      <c r="A19" s="3" t="s">
        <v>10</v>
      </c>
      <c r="B19" s="9">
        <v>14941650</v>
      </c>
      <c r="C19" s="9">
        <v>14978653</v>
      </c>
      <c r="D19" s="9">
        <v>14853316</v>
      </c>
      <c r="E19" s="13">
        <v>15120675</v>
      </c>
      <c r="F19" s="9">
        <v>14847925</v>
      </c>
      <c r="G19" s="9">
        <v>14723748</v>
      </c>
      <c r="H19" s="9">
        <v>15004693</v>
      </c>
      <c r="I19" s="9">
        <v>15479956</v>
      </c>
      <c r="J19" s="9">
        <v>15850406</v>
      </c>
      <c r="K19">
        <v>16276032</v>
      </c>
      <c r="L19" s="14">
        <v>16517114</v>
      </c>
      <c r="M19" s="14">
        <v>16762475</v>
      </c>
      <c r="N19" s="14">
        <v>17068190</v>
      </c>
      <c r="O19" s="14">
        <v>17356640</v>
      </c>
      <c r="P19" s="14">
        <v>17718084</v>
      </c>
      <c r="R19" s="14">
        <v>17704572</v>
      </c>
    </row>
    <row r="20" spans="1:18" x14ac:dyDescent="0.3">
      <c r="A20" s="3" t="s">
        <v>11</v>
      </c>
      <c r="B20" s="9">
        <v>33462983</v>
      </c>
      <c r="C20" s="9">
        <v>34091581</v>
      </c>
      <c r="D20" s="9">
        <v>33696531</v>
      </c>
      <c r="E20" s="13">
        <v>33768027</v>
      </c>
      <c r="F20" s="9">
        <v>31686609</v>
      </c>
      <c r="G20" s="9">
        <v>30864814</v>
      </c>
      <c r="H20" s="9">
        <v>30744454</v>
      </c>
      <c r="I20" s="9">
        <v>30882959</v>
      </c>
      <c r="J20" s="9">
        <v>30977231</v>
      </c>
      <c r="K20">
        <v>31369484</v>
      </c>
      <c r="L20" s="14">
        <v>31665464</v>
      </c>
      <c r="M20" s="14">
        <v>31752152</v>
      </c>
      <c r="N20" s="14">
        <v>32271756</v>
      </c>
      <c r="O20" s="14">
        <v>32915132</v>
      </c>
      <c r="P20" s="14">
        <v>33399963</v>
      </c>
      <c r="R20" s="14">
        <v>33984872</v>
      </c>
    </row>
    <row r="21" spans="1:18" x14ac:dyDescent="0.3">
      <c r="A21" s="3" t="s">
        <v>12</v>
      </c>
      <c r="B21" s="9">
        <v>32175000</v>
      </c>
      <c r="C21" s="9">
        <v>33256957</v>
      </c>
      <c r="D21" s="9">
        <v>33744375</v>
      </c>
      <c r="E21" s="13">
        <v>34603252</v>
      </c>
      <c r="F21" s="9">
        <v>33418586</v>
      </c>
      <c r="G21" s="9">
        <v>33153265</v>
      </c>
      <c r="H21" s="9">
        <v>32998018</v>
      </c>
      <c r="I21" s="9">
        <v>32972872</v>
      </c>
      <c r="J21" s="9">
        <v>32709617</v>
      </c>
      <c r="K21">
        <v>32739009</v>
      </c>
      <c r="L21" s="14">
        <v>32802327</v>
      </c>
      <c r="M21" s="14">
        <v>32808769</v>
      </c>
      <c r="N21" s="14">
        <v>32796378</v>
      </c>
      <c r="O21" s="14">
        <v>32445012</v>
      </c>
      <c r="P21" s="14">
        <v>32139298</v>
      </c>
      <c r="R21" s="14">
        <v>31411848</v>
      </c>
    </row>
    <row r="22" spans="1:18" x14ac:dyDescent="0.3">
      <c r="A22" s="3" t="s">
        <v>13</v>
      </c>
      <c r="B22" s="9">
        <v>11449438</v>
      </c>
      <c r="C22" s="9">
        <v>12202077</v>
      </c>
      <c r="D22" s="9">
        <v>12291228</v>
      </c>
      <c r="E22" s="13">
        <v>12863992</v>
      </c>
      <c r="F22" s="9">
        <v>12678796</v>
      </c>
      <c r="G22" s="9">
        <v>13110099</v>
      </c>
      <c r="H22" s="9">
        <v>13532369</v>
      </c>
      <c r="I22" s="9">
        <v>13866285</v>
      </c>
      <c r="J22" s="9">
        <v>14279745</v>
      </c>
      <c r="K22">
        <v>14558039</v>
      </c>
      <c r="L22" s="14">
        <v>14803575</v>
      </c>
      <c r="M22" s="14">
        <v>14967651</v>
      </c>
      <c r="N22" s="14">
        <v>15166135</v>
      </c>
      <c r="O22" s="14">
        <v>15151759</v>
      </c>
      <c r="P22" s="14">
        <v>15221507</v>
      </c>
      <c r="R22" s="14">
        <v>14773009</v>
      </c>
    </row>
    <row r="23" spans="1:18" x14ac:dyDescent="0.3">
      <c r="A23" s="3" t="s">
        <v>14</v>
      </c>
      <c r="B23" s="9">
        <v>3042465</v>
      </c>
      <c r="C23" s="9">
        <v>3176130</v>
      </c>
      <c r="D23" s="9">
        <v>3747845</v>
      </c>
      <c r="E23" s="13">
        <v>4287658</v>
      </c>
      <c r="F23" s="9">
        <v>4090123</v>
      </c>
      <c r="G23" s="9">
        <v>4142543</v>
      </c>
      <c r="H23" s="9">
        <v>4255299</v>
      </c>
      <c r="I23" s="9">
        <v>4397106</v>
      </c>
      <c r="J23" s="9">
        <v>4569415</v>
      </c>
      <c r="K23">
        <v>4726274</v>
      </c>
      <c r="L23" s="14">
        <v>4936832</v>
      </c>
      <c r="M23" s="14">
        <v>5036404</v>
      </c>
      <c r="N23" s="14">
        <v>5266352</v>
      </c>
      <c r="O23" s="14">
        <v>5350436</v>
      </c>
      <c r="P23" s="14">
        <v>5464230</v>
      </c>
      <c r="R23" s="14">
        <v>5514591</v>
      </c>
    </row>
    <row r="24" spans="1:18" x14ac:dyDescent="0.3">
      <c r="A24" s="3" t="s">
        <v>15</v>
      </c>
      <c r="B24" s="9">
        <v>3291981</v>
      </c>
      <c r="C24" s="9">
        <v>3503191</v>
      </c>
      <c r="D24" s="9">
        <v>3618056</v>
      </c>
      <c r="E24" s="13">
        <v>3822105</v>
      </c>
      <c r="F24" s="9">
        <v>4121880</v>
      </c>
      <c r="G24" s="9">
        <v>4467761</v>
      </c>
      <c r="H24" s="9">
        <v>4756277</v>
      </c>
      <c r="I24" s="9">
        <v>4810481</v>
      </c>
      <c r="J24" s="9">
        <v>4924160</v>
      </c>
      <c r="K24">
        <v>5181475</v>
      </c>
      <c r="L24" s="14">
        <v>5372993</v>
      </c>
      <c r="M24" s="14">
        <v>5631707</v>
      </c>
      <c r="N24" s="14">
        <v>5895188</v>
      </c>
      <c r="O24" s="14">
        <v>6135544</v>
      </c>
      <c r="P24" s="14">
        <v>6438582</v>
      </c>
      <c r="R24" s="14">
        <v>6561120</v>
      </c>
    </row>
    <row r="25" spans="1:18" x14ac:dyDescent="0.3">
      <c r="A25" s="4" t="s">
        <v>33</v>
      </c>
      <c r="B25" s="15">
        <f t="shared" ref="B25:K25" si="6">SUM(B15:B17)</f>
        <v>18663885</v>
      </c>
      <c r="C25" s="15">
        <f t="shared" si="6"/>
        <v>19886930</v>
      </c>
      <c r="D25" s="15">
        <f t="shared" si="6"/>
        <v>19701210</v>
      </c>
      <c r="E25" s="15">
        <f t="shared" si="6"/>
        <v>19998103</v>
      </c>
      <c r="F25" s="15">
        <f t="shared" si="6"/>
        <v>18315906</v>
      </c>
      <c r="G25" s="15">
        <f t="shared" si="6"/>
        <v>19266902</v>
      </c>
      <c r="H25" s="15">
        <f t="shared" si="6"/>
        <v>17756556</v>
      </c>
      <c r="I25" s="15">
        <f t="shared" si="6"/>
        <v>18294274</v>
      </c>
      <c r="J25" s="15">
        <f t="shared" si="6"/>
        <v>18822378</v>
      </c>
      <c r="K25" s="15">
        <f t="shared" si="6"/>
        <v>19359586</v>
      </c>
      <c r="L25" s="15">
        <f>SUM(L15:L17)</f>
        <v>19734312</v>
      </c>
      <c r="M25" s="15">
        <f>SUM(M15:M17)</f>
        <v>19972150</v>
      </c>
      <c r="N25" s="15">
        <f t="shared" ref="N25:P25" si="7">SUM(N15:N17)</f>
        <v>20028471</v>
      </c>
      <c r="O25" s="15">
        <f t="shared" si="7"/>
        <v>20078516</v>
      </c>
      <c r="P25" s="15">
        <f t="shared" si="7"/>
        <v>20389046</v>
      </c>
      <c r="Q25" s="15">
        <f t="shared" ref="Q25:R25" si="8">SUM(Q15:Q17)</f>
        <v>0</v>
      </c>
      <c r="R25" s="15">
        <f t="shared" si="8"/>
        <v>19840789</v>
      </c>
    </row>
    <row r="26" spans="1:18" x14ac:dyDescent="0.3">
      <c r="A26" s="4" t="s">
        <v>16</v>
      </c>
      <c r="B26" s="15">
        <f t="shared" ref="B26:K26" si="9">SUM(B18:B24)</f>
        <v>112890962</v>
      </c>
      <c r="C26" s="15">
        <f t="shared" si="9"/>
        <v>116427482</v>
      </c>
      <c r="D26" s="15">
        <f t="shared" si="9"/>
        <v>117425164</v>
      </c>
      <c r="E26" s="15">
        <f t="shared" si="9"/>
        <v>120424953</v>
      </c>
      <c r="F26" s="15">
        <f t="shared" si="9"/>
        <v>116471826</v>
      </c>
      <c r="G26" s="15">
        <f t="shared" si="9"/>
        <v>115410958</v>
      </c>
      <c r="H26" s="15">
        <f t="shared" si="9"/>
        <v>116445308</v>
      </c>
      <c r="I26" s="15">
        <f t="shared" si="9"/>
        <v>117830086</v>
      </c>
      <c r="J26" s="15">
        <f t="shared" si="9"/>
        <v>119036123</v>
      </c>
      <c r="K26" s="15">
        <f t="shared" si="9"/>
        <v>121063126</v>
      </c>
      <c r="L26" s="15">
        <f>SUM(L18:L24)</f>
        <v>122857439</v>
      </c>
      <c r="M26" s="15">
        <f>SUM(M18:M24)</f>
        <v>124233552</v>
      </c>
      <c r="N26" s="15">
        <f t="shared" ref="N26:P26" si="10">SUM(N18:N24)</f>
        <v>126216196</v>
      </c>
      <c r="O26" s="15">
        <f t="shared" si="10"/>
        <v>127508016</v>
      </c>
      <c r="P26" s="15">
        <f t="shared" si="10"/>
        <v>128610152</v>
      </c>
      <c r="Q26" s="15">
        <f t="shared" ref="Q26:R26" si="11">SUM(Q18:Q24)</f>
        <v>0</v>
      </c>
      <c r="R26" s="15">
        <f t="shared" si="11"/>
        <v>126774984</v>
      </c>
    </row>
    <row r="27" spans="1:18" ht="28.8" x14ac:dyDescent="0.3">
      <c r="A27" s="4" t="s">
        <v>31</v>
      </c>
      <c r="B27" s="10">
        <f t="shared" ref="B27:K27" si="12">B25/B13</f>
        <v>0.53982343118271781</v>
      </c>
      <c r="C27" s="10">
        <f t="shared" si="12"/>
        <v>0.5190900223561612</v>
      </c>
      <c r="D27" s="10">
        <f t="shared" si="12"/>
        <v>0.51139825008190309</v>
      </c>
      <c r="E27" s="10">
        <f t="shared" si="12"/>
        <v>0.51628743177550251</v>
      </c>
      <c r="F27" s="10">
        <f t="shared" si="12"/>
        <v>0.49451398766829791</v>
      </c>
      <c r="G27" s="10">
        <f t="shared" si="12"/>
        <v>0.487227060294118</v>
      </c>
      <c r="H27" s="10">
        <f t="shared" si="12"/>
        <v>0.44701573098189007</v>
      </c>
      <c r="I27" s="10">
        <f t="shared" si="12"/>
        <v>0.45885058070917611</v>
      </c>
      <c r="J27" s="10">
        <f t="shared" si="12"/>
        <v>0.47143887207196306</v>
      </c>
      <c r="K27" s="10">
        <f t="shared" si="12"/>
        <v>0.48564907647061939</v>
      </c>
      <c r="L27" s="10">
        <f>L25/L13</f>
        <v>0.49682820713033127</v>
      </c>
      <c r="M27" s="10">
        <f>M25/M13</f>
        <v>0.50594117968779473</v>
      </c>
      <c r="N27" s="10">
        <f t="shared" ref="N27:P27" si="13">N25/N13</f>
        <v>0.50944668416587258</v>
      </c>
      <c r="O27" s="10">
        <f t="shared" si="13"/>
        <v>0.51447619582534232</v>
      </c>
      <c r="P27" s="10">
        <f t="shared" si="13"/>
        <v>0.52772701068675198</v>
      </c>
      <c r="Q27" s="10" t="e">
        <f t="shared" ref="Q27:R27" si="14">Q25/Q13</f>
        <v>#DIV/0!</v>
      </c>
      <c r="R27" s="10">
        <f t="shared" si="14"/>
        <v>0.51051544081834221</v>
      </c>
    </row>
    <row r="28" spans="1:18" ht="28.8" x14ac:dyDescent="0.3">
      <c r="A28" s="6" t="s">
        <v>17</v>
      </c>
      <c r="B28" s="7">
        <f t="shared" ref="B28:J28" si="15">B26/B14</f>
        <v>0.73215378520216512</v>
      </c>
      <c r="C28" s="7">
        <f t="shared" si="15"/>
        <v>0.73343925375178387</v>
      </c>
      <c r="D28" s="7">
        <f t="shared" si="15"/>
        <v>0.73366969899515855</v>
      </c>
      <c r="E28" s="7">
        <f t="shared" si="15"/>
        <v>0.7469707386155614</v>
      </c>
      <c r="F28" s="7">
        <f t="shared" si="15"/>
        <v>0.71698912870811904</v>
      </c>
      <c r="G28" s="7">
        <f t="shared" si="15"/>
        <v>0.7164238617658194</v>
      </c>
      <c r="H28" s="7">
        <f t="shared" si="15"/>
        <v>0.70535874482977556</v>
      </c>
      <c r="I28" s="7">
        <f t="shared" si="15"/>
        <v>0.71157291795428934</v>
      </c>
      <c r="J28" s="7">
        <f t="shared" si="15"/>
        <v>0.71602129065778031</v>
      </c>
      <c r="K28" s="16">
        <f>K26/K14</f>
        <v>0.72271862988885172</v>
      </c>
      <c r="L28" s="16">
        <f>L26/L14</f>
        <v>0.72819648423842276</v>
      </c>
      <c r="M28" s="10">
        <f>M26/M14</f>
        <v>0.73397920829817664</v>
      </c>
      <c r="N28" s="10">
        <f t="shared" ref="N28:P28" si="16">N26/N14</f>
        <v>0.74055599970501251</v>
      </c>
      <c r="O28" s="10">
        <f t="shared" si="16"/>
        <v>0.7468150559906519</v>
      </c>
      <c r="P28" s="10">
        <f t="shared" si="16"/>
        <v>0.75287866719851848</v>
      </c>
      <c r="Q28" s="10" t="e">
        <f t="shared" ref="Q28:R28" si="17">Q26/Q14</f>
        <v>#DIV/0!</v>
      </c>
      <c r="R28" s="10">
        <f t="shared" si="17"/>
        <v>0.73577433039594264</v>
      </c>
    </row>
    <row r="30" spans="1:18" x14ac:dyDescent="0.3">
      <c r="F30" s="11"/>
    </row>
    <row r="31" spans="1:18" x14ac:dyDescent="0.3">
      <c r="A3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Travis County</vt:lpstr>
      <vt:lpstr>City of Austin</vt:lpstr>
      <vt:lpstr>Austin MSA</vt:lpstr>
      <vt:lpstr>Texas</vt:lpstr>
      <vt:lpstr>USA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2016-01-12T19:29:35Z</dcterms:created>
  <dcterms:modified xsi:type="dcterms:W3CDTF">2022-11-15T21:17:03Z</dcterms:modified>
</cp:coreProperties>
</file>