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Crime\"/>
    </mc:Choice>
  </mc:AlternateContent>
  <xr:revisionPtr revIDLastSave="0" documentId="13_ncr:1_{DF1EF235-D8F4-4A85-8BF8-79670B9414EA}" xr6:coauthVersionLast="47" xr6:coauthVersionMax="47" xr10:uidLastSave="{00000000-0000-0000-0000-000000000000}"/>
  <bookViews>
    <workbookView xWindow="22140" yWindow="3390" windowWidth="20460" windowHeight="10470" xr2:uid="{00000000-000D-0000-FFFF-FFFF00000000}"/>
  </bookViews>
  <sheets>
    <sheet name="Sheet1" sheetId="1" r:id="rId1"/>
    <sheet name="Tota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0" i="1" l="1"/>
  <c r="U22" i="1"/>
  <c r="U28" i="1" l="1"/>
  <c r="V17" i="1"/>
  <c r="U30" i="1"/>
  <c r="V25" i="1"/>
  <c r="U25" i="1"/>
  <c r="U17" i="1"/>
  <c r="AA9" i="1"/>
  <c r="X9" i="1"/>
  <c r="U9" i="1"/>
  <c r="U7" i="1"/>
  <c r="V4" i="1"/>
  <c r="U4" i="1"/>
  <c r="D8" i="2"/>
  <c r="C8" i="2"/>
  <c r="D7" i="2"/>
  <c r="C7" i="2"/>
  <c r="G17" i="2"/>
  <c r="G7" i="2"/>
  <c r="D6" i="2"/>
  <c r="C6" i="2"/>
  <c r="L13" i="2"/>
  <c r="L3" i="2"/>
  <c r="L4" i="2"/>
  <c r="L5" i="2"/>
  <c r="D5" i="2"/>
  <c r="C5" i="2"/>
  <c r="D4" i="2"/>
  <c r="C4" i="2"/>
  <c r="D3" i="2"/>
  <c r="C3" i="2"/>
  <c r="S3" i="2"/>
  <c r="T3" i="2"/>
  <c r="T13" i="2"/>
  <c r="Q3" i="2"/>
  <c r="S13" i="2"/>
  <c r="Q13" i="2"/>
  <c r="C13" i="2"/>
  <c r="D13" i="2"/>
  <c r="H13" i="2" s="1"/>
  <c r="V13" i="2"/>
  <c r="C14" i="2"/>
  <c r="D14" i="2"/>
  <c r="E14" i="2"/>
  <c r="G14" i="2"/>
  <c r="H14" i="2"/>
  <c r="I14" i="2"/>
  <c r="J14" i="2"/>
  <c r="Q14" i="2"/>
  <c r="S14" i="2"/>
  <c r="T14" i="2"/>
  <c r="V14" i="2"/>
  <c r="C15" i="2"/>
  <c r="D15" i="2"/>
  <c r="C16" i="2"/>
  <c r="D16" i="2"/>
  <c r="H16" i="2"/>
  <c r="C17" i="2"/>
  <c r="D17" i="2"/>
  <c r="E17" i="2"/>
  <c r="H17" i="2"/>
  <c r="I17" i="2"/>
  <c r="J17" i="2"/>
  <c r="C18" i="2"/>
  <c r="D18" i="2"/>
  <c r="E18" i="2"/>
  <c r="G18" i="2"/>
  <c r="H18" i="2"/>
  <c r="I18" i="2"/>
  <c r="J18" i="2"/>
  <c r="M18" i="2" s="1"/>
  <c r="F19" i="2"/>
  <c r="C23" i="2"/>
  <c r="D23" i="2"/>
  <c r="D29" i="2" s="1"/>
  <c r="H29" i="2" s="1"/>
  <c r="E23" i="2"/>
  <c r="I23" i="2" s="1"/>
  <c r="J23" i="2" s="1"/>
  <c r="G23" i="2"/>
  <c r="Q23" i="2"/>
  <c r="S23" i="2"/>
  <c r="T23" i="2"/>
  <c r="V23" i="2"/>
  <c r="C24" i="2"/>
  <c r="D24" i="2"/>
  <c r="E24" i="2"/>
  <c r="G24" i="2"/>
  <c r="H24" i="2"/>
  <c r="I24" i="2"/>
  <c r="J24" i="2"/>
  <c r="M24" i="2" s="1"/>
  <c r="Q24" i="2"/>
  <c r="S24" i="2"/>
  <c r="T24" i="2"/>
  <c r="V24" i="2"/>
  <c r="C25" i="2"/>
  <c r="G25" i="2" s="1"/>
  <c r="D25" i="2"/>
  <c r="H25" i="2" s="1"/>
  <c r="E25" i="2"/>
  <c r="I25" i="2" s="1"/>
  <c r="J25" i="2" s="1"/>
  <c r="M25" i="2"/>
  <c r="C26" i="2"/>
  <c r="D26" i="2"/>
  <c r="H26" i="2" s="1"/>
  <c r="C27" i="2"/>
  <c r="D27" i="2"/>
  <c r="H27" i="2"/>
  <c r="C28" i="2"/>
  <c r="D28" i="2"/>
  <c r="E28" i="2"/>
  <c r="G28" i="2"/>
  <c r="H28" i="2"/>
  <c r="I28" i="2"/>
  <c r="J28" i="2"/>
  <c r="F29" i="2"/>
  <c r="E33" i="2"/>
  <c r="G33" i="2"/>
  <c r="H33" i="2"/>
  <c r="I33" i="2"/>
  <c r="J33" i="2"/>
  <c r="Q33" i="2"/>
  <c r="S33" i="2"/>
  <c r="T33" i="2"/>
  <c r="V33" i="2"/>
  <c r="E34" i="2"/>
  <c r="G34" i="2"/>
  <c r="H34" i="2"/>
  <c r="I34" i="2"/>
  <c r="J34" i="2" s="1"/>
  <c r="Q34" i="2"/>
  <c r="S34" i="2"/>
  <c r="T34" i="2"/>
  <c r="V34" i="2"/>
  <c r="E35" i="2"/>
  <c r="I35" i="2" s="1"/>
  <c r="J35" i="2" s="1"/>
  <c r="G35" i="2"/>
  <c r="H35" i="2"/>
  <c r="E36" i="2"/>
  <c r="G36" i="2"/>
  <c r="H36" i="2"/>
  <c r="I36" i="2"/>
  <c r="J36" i="2"/>
  <c r="E37" i="2"/>
  <c r="I37" i="2" s="1"/>
  <c r="J37" i="2" s="1"/>
  <c r="G37" i="2"/>
  <c r="H37" i="2"/>
  <c r="E38" i="2"/>
  <c r="G38" i="2"/>
  <c r="H38" i="2"/>
  <c r="I38" i="2"/>
  <c r="J38" i="2" s="1"/>
  <c r="C39" i="2"/>
  <c r="D39" i="2"/>
  <c r="E39" i="2"/>
  <c r="F39" i="2"/>
  <c r="G39" i="2"/>
  <c r="H39" i="2"/>
  <c r="I39" i="2"/>
  <c r="J39" i="2" s="1"/>
  <c r="E43" i="2"/>
  <c r="G43" i="2"/>
  <c r="H43" i="2"/>
  <c r="I43" i="2"/>
  <c r="J43" i="2"/>
  <c r="Q43" i="2"/>
  <c r="T43" i="2" s="1"/>
  <c r="V43" i="2" s="1"/>
  <c r="S43" i="2"/>
  <c r="E44" i="2"/>
  <c r="G44" i="2"/>
  <c r="H44" i="2"/>
  <c r="I44" i="2"/>
  <c r="J44" i="2"/>
  <c r="Q44" i="2"/>
  <c r="T44" i="2" s="1"/>
  <c r="V44" i="2" s="1"/>
  <c r="S44" i="2"/>
  <c r="E45" i="2"/>
  <c r="G45" i="2"/>
  <c r="H45" i="2"/>
  <c r="I45" i="2"/>
  <c r="J45" i="2" s="1"/>
  <c r="E46" i="2"/>
  <c r="G46" i="2"/>
  <c r="H46" i="2"/>
  <c r="I46" i="2"/>
  <c r="J46" i="2"/>
  <c r="E47" i="2"/>
  <c r="I47" i="2" s="1"/>
  <c r="J47" i="2" s="1"/>
  <c r="G47" i="2"/>
  <c r="H47" i="2"/>
  <c r="E48" i="2"/>
  <c r="G48" i="2"/>
  <c r="H48" i="2"/>
  <c r="I48" i="2"/>
  <c r="J48" i="2"/>
  <c r="C49" i="2"/>
  <c r="D49" i="2"/>
  <c r="F49" i="2"/>
  <c r="H49" i="2"/>
  <c r="E54" i="2"/>
  <c r="I54" i="2" s="1"/>
  <c r="J54" i="2" s="1"/>
  <c r="G54" i="2"/>
  <c r="H54" i="2"/>
  <c r="Q54" i="2"/>
  <c r="T54" i="2" s="1"/>
  <c r="V54" i="2" s="1"/>
  <c r="S54" i="2"/>
  <c r="E55" i="2"/>
  <c r="G55" i="2"/>
  <c r="H55" i="2"/>
  <c r="I55" i="2"/>
  <c r="J55" i="2"/>
  <c r="Q55" i="2"/>
  <c r="S55" i="2"/>
  <c r="V55" i="2"/>
  <c r="E56" i="2"/>
  <c r="G56" i="2"/>
  <c r="H56" i="2"/>
  <c r="I56" i="2"/>
  <c r="J56" i="2"/>
  <c r="E57" i="2"/>
  <c r="I57" i="2" s="1"/>
  <c r="J57" i="2" s="1"/>
  <c r="G57" i="2"/>
  <c r="H57" i="2"/>
  <c r="E58" i="2"/>
  <c r="G58" i="2"/>
  <c r="H58" i="2"/>
  <c r="I58" i="2"/>
  <c r="J58" i="2"/>
  <c r="L17" i="2" s="1"/>
  <c r="E59" i="2"/>
  <c r="I59" i="2" s="1"/>
  <c r="J59" i="2" s="1"/>
  <c r="G59" i="2"/>
  <c r="H59" i="2"/>
  <c r="C60" i="2"/>
  <c r="D60" i="2"/>
  <c r="E60" i="2"/>
  <c r="F60" i="2"/>
  <c r="E65" i="2"/>
  <c r="I65" i="2" s="1"/>
  <c r="J65" i="2" s="1"/>
  <c r="G65" i="2"/>
  <c r="H65" i="2"/>
  <c r="Q65" i="2"/>
  <c r="S65" i="2"/>
  <c r="T65" i="2"/>
  <c r="V65" i="2"/>
  <c r="E66" i="2"/>
  <c r="I66" i="2" s="1"/>
  <c r="J66" i="2" s="1"/>
  <c r="L24" i="2" s="1"/>
  <c r="G66" i="2"/>
  <c r="H66" i="2"/>
  <c r="Q66" i="2"/>
  <c r="S66" i="2"/>
  <c r="V66" i="2"/>
  <c r="E67" i="2"/>
  <c r="I67" i="2" s="1"/>
  <c r="J67" i="2" s="1"/>
  <c r="L25" i="2" s="1"/>
  <c r="G67" i="2"/>
  <c r="H67" i="2"/>
  <c r="E68" i="2"/>
  <c r="G68" i="2"/>
  <c r="H68" i="2"/>
  <c r="I68" i="2"/>
  <c r="J68" i="2"/>
  <c r="E69" i="2"/>
  <c r="I69" i="2" s="1"/>
  <c r="J69" i="2" s="1"/>
  <c r="G69" i="2"/>
  <c r="H69" i="2"/>
  <c r="E70" i="2"/>
  <c r="G70" i="2"/>
  <c r="H70" i="2"/>
  <c r="I70" i="2"/>
  <c r="J70" i="2" s="1"/>
  <c r="L28" i="2" s="1"/>
  <c r="C71" i="2"/>
  <c r="D71" i="2"/>
  <c r="E71" i="2"/>
  <c r="F71" i="2"/>
  <c r="G71" i="2" s="1"/>
  <c r="E76" i="2"/>
  <c r="G76" i="2"/>
  <c r="H76" i="2"/>
  <c r="I76" i="2"/>
  <c r="J76" i="2"/>
  <c r="Q76" i="2"/>
  <c r="T76" i="2" s="1"/>
  <c r="V76" i="2" s="1"/>
  <c r="S76" i="2"/>
  <c r="E77" i="2"/>
  <c r="G77" i="2"/>
  <c r="H77" i="2"/>
  <c r="I77" i="2"/>
  <c r="J77" i="2"/>
  <c r="Q77" i="2"/>
  <c r="T77" i="2" s="1"/>
  <c r="V77" i="2" s="1"/>
  <c r="S77" i="2"/>
  <c r="E78" i="2"/>
  <c r="G78" i="2"/>
  <c r="H78" i="2"/>
  <c r="I78" i="2"/>
  <c r="J78" i="2"/>
  <c r="E79" i="2"/>
  <c r="G79" i="2"/>
  <c r="H79" i="2"/>
  <c r="I79" i="2"/>
  <c r="J79" i="2"/>
  <c r="E80" i="2"/>
  <c r="I80" i="2" s="1"/>
  <c r="J80" i="2" s="1"/>
  <c r="G80" i="2"/>
  <c r="H80" i="2"/>
  <c r="E81" i="2"/>
  <c r="G81" i="2"/>
  <c r="H81" i="2"/>
  <c r="I81" i="2"/>
  <c r="J81" i="2"/>
  <c r="C82" i="2"/>
  <c r="D82" i="2"/>
  <c r="F82" i="2"/>
  <c r="H82" i="2"/>
  <c r="G3" i="2"/>
  <c r="H3" i="2"/>
  <c r="E26" i="2" l="1"/>
  <c r="I26" i="2" s="1"/>
  <c r="J26" i="2" s="1"/>
  <c r="G26" i="2"/>
  <c r="L23" i="2"/>
  <c r="M23" i="2"/>
  <c r="E15" i="2"/>
  <c r="I15" i="2" s="1"/>
  <c r="J15" i="2" s="1"/>
  <c r="G15" i="2"/>
  <c r="E49" i="2"/>
  <c r="I49" i="2" s="1"/>
  <c r="J49" i="2" s="1"/>
  <c r="G49" i="2"/>
  <c r="I60" i="2"/>
  <c r="J60" i="2" s="1"/>
  <c r="C29" i="2"/>
  <c r="H60" i="2"/>
  <c r="E27" i="2"/>
  <c r="I27" i="2" s="1"/>
  <c r="J27" i="2" s="1"/>
  <c r="G27" i="2"/>
  <c r="E82" i="2"/>
  <c r="I82" i="2" s="1"/>
  <c r="J82" i="2" s="1"/>
  <c r="G82" i="2"/>
  <c r="G60" i="2"/>
  <c r="E16" i="2"/>
  <c r="I16" i="2" s="1"/>
  <c r="J16" i="2" s="1"/>
  <c r="G16" i="2"/>
  <c r="I71" i="2"/>
  <c r="J71" i="2" s="1"/>
  <c r="L14" i="2"/>
  <c r="M14" i="2"/>
  <c r="H71" i="2"/>
  <c r="M28" i="2"/>
  <c r="H23" i="2"/>
  <c r="L18" i="2"/>
  <c r="H15" i="2"/>
  <c r="D19" i="2"/>
  <c r="H19" i="2" s="1"/>
  <c r="C19" i="2"/>
  <c r="G13" i="2"/>
  <c r="E13" i="2"/>
  <c r="I13" i="2" s="1"/>
  <c r="J13" i="2" s="1"/>
  <c r="E19" i="2" l="1"/>
  <c r="I19" i="2" s="1"/>
  <c r="J19" i="2" s="1"/>
  <c r="G19" i="2"/>
  <c r="L27" i="2"/>
  <c r="M27" i="2"/>
  <c r="L15" i="2"/>
  <c r="M15" i="2"/>
  <c r="E29" i="2"/>
  <c r="I29" i="2" s="1"/>
  <c r="J29" i="2" s="1"/>
  <c r="G29" i="2"/>
  <c r="M16" i="2"/>
  <c r="L16" i="2"/>
  <c r="L26" i="2"/>
  <c r="M26" i="2"/>
  <c r="M13" i="2"/>
  <c r="M17" i="2"/>
  <c r="V3" i="2"/>
  <c r="L29" i="2" l="1"/>
  <c r="M29" i="2"/>
  <c r="L19" i="2"/>
  <c r="M19" i="2"/>
  <c r="E7" i="2"/>
  <c r="I7" i="2" s="1"/>
  <c r="J7" i="2" s="1"/>
  <c r="L7" i="2" s="1"/>
  <c r="G6" i="2"/>
  <c r="G5" i="2"/>
  <c r="F9" i="2"/>
  <c r="H8" i="2"/>
  <c r="G8" i="2"/>
  <c r="H7" i="2"/>
  <c r="H6" i="2"/>
  <c r="H5" i="2"/>
  <c r="T4" i="2"/>
  <c r="V4" i="2" s="1"/>
  <c r="S4" i="2"/>
  <c r="Q4" i="2"/>
  <c r="H4" i="2"/>
  <c r="E4" i="2"/>
  <c r="I4" i="2" s="1"/>
  <c r="J4" i="2" s="1"/>
  <c r="M4" i="2" l="1"/>
  <c r="M7" i="2"/>
  <c r="C9" i="2"/>
  <c r="G9" i="2" s="1"/>
  <c r="G4" i="2"/>
  <c r="E8" i="2"/>
  <c r="I8" i="2" s="1"/>
  <c r="J8" i="2" s="1"/>
  <c r="D9" i="2"/>
  <c r="H9" i="2" s="1"/>
  <c r="E3" i="2"/>
  <c r="I3" i="2" s="1"/>
  <c r="J3" i="2" s="1"/>
  <c r="E5" i="2"/>
  <c r="I5" i="2" s="1"/>
  <c r="J5" i="2" s="1"/>
  <c r="E6" i="2"/>
  <c r="I6" i="2" s="1"/>
  <c r="J6" i="2" s="1"/>
  <c r="L6" i="2" s="1"/>
  <c r="L8" i="2" l="1"/>
  <c r="M8" i="2"/>
  <c r="M5" i="2"/>
  <c r="M6" i="2"/>
  <c r="E9" i="2"/>
  <c r="I9" i="2" s="1"/>
  <c r="J9" i="2" s="1"/>
  <c r="L9" i="2" s="1"/>
  <c r="Q27" i="1"/>
  <c r="Q19" i="1"/>
  <c r="M9" i="2" l="1"/>
  <c r="M3" i="2"/>
  <c r="K7" i="1" l="1"/>
  <c r="J7" i="1"/>
</calcChain>
</file>

<file path=xl/sharedStrings.xml><?xml version="1.0" encoding="utf-8"?>
<sst xmlns="http://schemas.openxmlformats.org/spreadsheetml/2006/main" count="265" uniqueCount="56">
  <si>
    <t xml:space="preserve">Travis </t>
  </si>
  <si>
    <t>Texas</t>
  </si>
  <si>
    <t>USA</t>
  </si>
  <si>
    <t>Data Source</t>
  </si>
  <si>
    <t>Overall Crime Rate per 100,000</t>
  </si>
  <si>
    <t>TX Urban Counties</t>
  </si>
  <si>
    <t>Bexar</t>
  </si>
  <si>
    <t>Dallas</t>
  </si>
  <si>
    <t xml:space="preserve">El Paso </t>
  </si>
  <si>
    <t xml:space="preserve">Harris </t>
  </si>
  <si>
    <t>Tarrant</t>
  </si>
  <si>
    <t xml:space="preserve">Population </t>
  </si>
  <si>
    <t>Crimes</t>
  </si>
  <si>
    <t>Index</t>
  </si>
  <si>
    <t>United States</t>
  </si>
  <si>
    <t>Bexar County: None</t>
  </si>
  <si>
    <t>Dallas County: None</t>
  </si>
  <si>
    <t>El Paso County: None</t>
  </si>
  <si>
    <t>Tarrant County: None</t>
  </si>
  <si>
    <t xml:space="preserve">2015 Data Reporting Omissions </t>
  </si>
  <si>
    <t xml:space="preserve">Harris County: Shoreacres PD - Reported 0 Months (Population 1613); </t>
  </si>
  <si>
    <t xml:space="preserve">Travis County: DPS Austin - Reported 0 Months (Population 0); </t>
  </si>
  <si>
    <t>The crime count of incidents (including murder, rape, robberies, assault, burglary, larceny and auto theft) divided by population to produce a rate per 100,000 persons in the population</t>
  </si>
  <si>
    <t>Methodology for Calculating the Crime Rate can be Accessed Here: http://www.canatx.org/CAN-Research/Reports/2008/StatisticalOverviewTravisCounty.pdf</t>
  </si>
  <si>
    <t xml:space="preserve"> </t>
  </si>
  <si>
    <t>Add violent and Property Crime from https://ucr.fbi.gov/crime-in-the-u.s/2016/crime-in-the-u.s.-2016/tables/table-1</t>
  </si>
  <si>
    <t>http://www.dps.texas.gov/crimereports/17/citCh2.pdf</t>
  </si>
  <si>
    <t>% change 2012-2016</t>
  </si>
  <si>
    <t>http://www.dps.texas.gov/crimereports/18/citCh2.pdf</t>
  </si>
  <si>
    <t>Violent Crime</t>
  </si>
  <si>
    <t>Property Crime</t>
  </si>
  <si>
    <t>Total Crime</t>
  </si>
  <si>
    <t>Rate/100,000</t>
  </si>
  <si>
    <t>Add violent and Property Crime from https://ucr.fbi.gov/crime-in-the-u.s/2018/crime-in-the-u.s.-2018/tables/table-1</t>
  </si>
  <si>
    <t>Add violent and Property Crime from https://ucr.fbi.gov/crime-in-the-u.s/2017/crime-in-the-u.s.-2017/tables/table-1</t>
  </si>
  <si>
    <t>Violent Rate</t>
  </si>
  <si>
    <t>Property Rate</t>
  </si>
  <si>
    <t>Total Rate</t>
  </si>
  <si>
    <t>Violent, Property Crime Rate per 100,000</t>
  </si>
  <si>
    <t>Table 1 at</t>
  </si>
  <si>
    <t>5-Yr Trend</t>
  </si>
  <si>
    <t>Population and crime data from https://www.dps.texas.gov/sites/default/files/documents/crimereports/19/cit2019.pdf</t>
  </si>
  <si>
    <t>5-Year Change</t>
  </si>
  <si>
    <t>Texas Department of Public Safety Crime Reports, Crime by Jurisdiction:</t>
  </si>
  <si>
    <t>Add violent and Property Crime from https://ucr.fbi.gov/crime-in-the-u.s/2019/crime-in-the-u.s.-2019/topic-pages/tables/table-1</t>
  </si>
  <si>
    <t>County Data</t>
  </si>
  <si>
    <t>Extended 5-Year Trend</t>
  </si>
  <si>
    <t>1-Year Change</t>
  </si>
  <si>
    <t>https://www.dps.texas.gov/section/crime-records/crime-texas</t>
  </si>
  <si>
    <t>The Texas Crime Report for 2020</t>
  </si>
  <si>
    <t>United States Crime Data: https://www.fbi.gov/how-we-can-help-you/need-an-fbi-service-or-more-information/ucr/publications</t>
  </si>
  <si>
    <t>https://www.fbi.gov/how-we-can-help-you/need-an-fbi-service-or-more-information/ucr/publications</t>
  </si>
  <si>
    <t>2021 target</t>
  </si>
  <si>
    <t>2022 Target</t>
  </si>
  <si>
    <t>% change 2020 to 2021</t>
  </si>
  <si>
    <t>% change 2017 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</si>
</sst>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10409]General"/>
    <numFmt numFmtId="165" formatCode="0.00000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orbel"/>
      <family val="2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b/>
      <u/>
      <sz val="11"/>
      <color theme="1"/>
      <name val="Tw Cen MT"/>
      <family val="2"/>
    </font>
    <font>
      <sz val="10"/>
      <color theme="1"/>
      <name val="Tw Cen MT"/>
      <family val="2"/>
    </font>
    <font>
      <b/>
      <sz val="10"/>
      <color theme="1"/>
      <name val="Tw Cen MT"/>
      <family val="2"/>
    </font>
    <font>
      <sz val="10"/>
      <color rgb="FF000000"/>
      <name val="Tw Cen MT"/>
      <family val="2"/>
    </font>
    <font>
      <u/>
      <sz val="11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</cellStyleXfs>
  <cellXfs count="3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" fontId="5" fillId="0" borderId="0" xfId="0" applyNumberFormat="1" applyFont="1"/>
    <xf numFmtId="1" fontId="0" fillId="0" borderId="0" xfId="0" applyNumberFormat="1"/>
    <xf numFmtId="0" fontId="3" fillId="0" borderId="0" xfId="0" applyFont="1"/>
    <xf numFmtId="3" fontId="0" fillId="0" borderId="0" xfId="0" applyNumberFormat="1"/>
    <xf numFmtId="4" fontId="0" fillId="0" borderId="0" xfId="0" applyNumberFormat="1"/>
    <xf numFmtId="0" fontId="7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/>
    <xf numFmtId="43" fontId="1" fillId="0" borderId="0" xfId="1" applyFont="1"/>
    <xf numFmtId="0" fontId="8" fillId="0" borderId="0" xfId="0" applyFont="1" applyAlignment="1">
      <alignment wrapText="1"/>
    </xf>
    <xf numFmtId="9" fontId="8" fillId="0" borderId="0" xfId="2" applyFont="1"/>
    <xf numFmtId="3" fontId="5" fillId="0" borderId="0" xfId="0" applyNumberFormat="1" applyFont="1"/>
    <xf numFmtId="10" fontId="8" fillId="0" borderId="0" xfId="2" applyNumberFormat="1" applyFont="1"/>
    <xf numFmtId="10" fontId="1" fillId="0" borderId="0" xfId="2" applyNumberFormat="1" applyFont="1"/>
    <xf numFmtId="165" fontId="0" fillId="0" borderId="0" xfId="0" applyNumberFormat="1"/>
    <xf numFmtId="0" fontId="11" fillId="0" borderId="0" xfId="3"/>
    <xf numFmtId="2" fontId="0" fillId="0" borderId="0" xfId="0" applyNumberFormat="1"/>
    <xf numFmtId="4" fontId="5" fillId="0" borderId="0" xfId="0" applyNumberFormat="1" applyFont="1"/>
    <xf numFmtId="2" fontId="5" fillId="0" borderId="0" xfId="0" applyNumberFormat="1" applyFont="1"/>
    <xf numFmtId="9" fontId="0" fillId="0" borderId="0" xfId="2" applyFont="1"/>
    <xf numFmtId="0" fontId="8" fillId="0" borderId="0" xfId="0" applyFont="1" applyAlignment="1">
      <alignment horizontal="left"/>
    </xf>
    <xf numFmtId="1" fontId="1" fillId="0" borderId="0" xfId="0" applyNumberFormat="1" applyFont="1"/>
    <xf numFmtId="166" fontId="0" fillId="0" borderId="0" xfId="1" applyNumberFormat="1" applyFont="1"/>
    <xf numFmtId="0" fontId="10" fillId="0" borderId="0" xfId="0" applyFont="1" applyAlignment="1">
      <alignment horizontal="left" wrapText="1"/>
    </xf>
  </cellXfs>
  <cellStyles count="4">
    <cellStyle name="Comma" xfId="1" builtinId="3"/>
    <cellStyle name="HyperLink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Overall Crime Rate per 100,000 People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0507670996735"/>
          <c:y val="0.15300432133327591"/>
          <c:w val="0.63234283270281422"/>
          <c:h val="0.74672960321806359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Travis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Sheet1!$K$3:$O$3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Sheet1!$K$4:$O$4</c:f>
              <c:numCache>
                <c:formatCode>0</c:formatCode>
                <c:ptCount val="4"/>
                <c:pt idx="0" formatCode="[$-1010409]General">
                  <c:v>3988</c:v>
                </c:pt>
                <c:pt idx="1">
                  <c:v>3676.6157090736847</c:v>
                </c:pt>
                <c:pt idx="2">
                  <c:v>3526</c:v>
                </c:pt>
                <c:pt idx="3">
                  <c:v>3270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9C-40D5-AEAB-8325F6F601B1}"/>
            </c:ext>
          </c:extLst>
        </c:ser>
        <c:ser>
          <c:idx val="1"/>
          <c:order val="1"/>
          <c:tx>
            <c:strRef>
              <c:f>Sheet1!$A$5:$B$5</c:f>
              <c:strCache>
                <c:ptCount val="2"/>
                <c:pt idx="1">
                  <c:v>TX Urban Counties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Sheet1!$K$3:$O$3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Sheet1!$K$5:$O$5</c:f>
              <c:numCache>
                <c:formatCode>0</c:formatCode>
                <c:ptCount val="4"/>
                <c:pt idx="0">
                  <c:v>4127.3937777591045</c:v>
                </c:pt>
                <c:pt idx="1">
                  <c:v>3909.8232560166866</c:v>
                </c:pt>
                <c:pt idx="2">
                  <c:v>3907</c:v>
                </c:pt>
                <c:pt idx="3">
                  <c:v>3725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9C-40D5-AEAB-8325F6F601B1}"/>
            </c:ext>
          </c:extLst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rgbClr val="7B9B60"/>
              </a:solidFill>
              <a:round/>
            </a:ln>
            <a:effectLst/>
          </c:spPr>
          <c:marker>
            <c:symbol val="none"/>
          </c:marker>
          <c:cat>
            <c:numRef>
              <c:f>Sheet1!$K$3:$O$3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Sheet1!$K$6:$O$6</c:f>
              <c:numCache>
                <c:formatCode>0</c:formatCode>
                <c:ptCount val="4"/>
                <c:pt idx="0">
                  <c:v>3392.2</c:v>
                </c:pt>
                <c:pt idx="1">
                  <c:v>3233.3</c:v>
                </c:pt>
                <c:pt idx="2">
                  <c:v>3182.7</c:v>
                </c:pt>
                <c:pt idx="3">
                  <c:v>2975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9C-40D5-AEAB-8325F6F601B1}"/>
            </c:ext>
          </c:extLst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Sheet1!$K$3:$O$3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Sheet1!$K$7:$O$7</c:f>
              <c:numCache>
                <c:formatCode>0</c:formatCode>
                <c:ptCount val="4"/>
                <c:pt idx="0">
                  <c:v>2961.5816311118419</c:v>
                </c:pt>
                <c:pt idx="1">
                  <c:v>2859.6131987541985</c:v>
                </c:pt>
                <c:pt idx="2">
                  <c:v>2837</c:v>
                </c:pt>
                <c:pt idx="3">
                  <c:v>2767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9C-40D5-AEAB-8325F6F60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4544"/>
        <c:axId val="7753760"/>
      </c:lineChart>
      <c:catAx>
        <c:axId val="775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7753760"/>
        <c:crosses val="autoZero"/>
        <c:auto val="1"/>
        <c:lblAlgn val="ctr"/>
        <c:lblOffset val="100"/>
        <c:noMultiLvlLbl val="0"/>
      </c:catAx>
      <c:valAx>
        <c:axId val="775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[$-1010409]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7754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06566456318735"/>
          <c:y val="0.35212280657403583"/>
          <c:w val="0.22819556748231584"/>
          <c:h val="0.4902168293183796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Overall Crime Rate per 100,000 People</a:t>
            </a:r>
          </a:p>
        </c:rich>
      </c:tx>
      <c:layout>
        <c:manualLayout>
          <c:xMode val="edge"/>
          <c:yMode val="edge"/>
          <c:x val="0.15381769040187912"/>
          <c:y val="5.0942953765643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25143835470277"/>
          <c:y val="0.22777069207868092"/>
          <c:w val="0.77872892943731398"/>
          <c:h val="0.52243042210950519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Travis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Sheet1!$O$3:$S$3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Sheet1!$O$4:$S$4</c:f>
              <c:numCache>
                <c:formatCode>0</c:formatCode>
                <c:ptCount val="5"/>
                <c:pt idx="0">
                  <c:v>3270</c:v>
                </c:pt>
                <c:pt idx="1">
                  <c:v>3394.4282543933209</c:v>
                </c:pt>
                <c:pt idx="2">
                  <c:v>3626.4834021894885</c:v>
                </c:pt>
                <c:pt idx="3">
                  <c:v>3561.8106038000087</c:v>
                </c:pt>
                <c:pt idx="4">
                  <c:v>3355.2757904488017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03-4894-91C6-4389FDB754D1}"/>
            </c:ext>
          </c:extLst>
        </c:ser>
        <c:ser>
          <c:idx val="1"/>
          <c:order val="1"/>
          <c:tx>
            <c:strRef>
              <c:f>Sheet1!$A$5:$B$5</c:f>
              <c:strCache>
                <c:ptCount val="2"/>
                <c:pt idx="1">
                  <c:v>TX Urban Counties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Sheet1!$O$3:$S$3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Sheet1!$O$5:$S$5</c:f>
              <c:numCache>
                <c:formatCode>0</c:formatCode>
                <c:ptCount val="5"/>
                <c:pt idx="0">
                  <c:v>3725</c:v>
                </c:pt>
                <c:pt idx="1">
                  <c:v>3489.6085260767832</c:v>
                </c:pt>
                <c:pt idx="2">
                  <c:v>3048.8459527897476</c:v>
                </c:pt>
                <c:pt idx="3">
                  <c:v>3496.611702125007</c:v>
                </c:pt>
                <c:pt idx="4">
                  <c:v>3489.7054426593418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03-4894-91C6-4389FDB754D1}"/>
            </c:ext>
          </c:extLst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rgbClr val="7B9B60"/>
              </a:solidFill>
              <a:round/>
            </a:ln>
            <a:effectLst/>
          </c:spPr>
          <c:marker>
            <c:symbol val="none"/>
          </c:marker>
          <c:cat>
            <c:numRef>
              <c:f>Sheet1!$O$3:$S$3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Sheet1!$O$6:$S$6</c:f>
              <c:numCache>
                <c:formatCode>0</c:formatCode>
                <c:ptCount val="5"/>
                <c:pt idx="0">
                  <c:v>2975</c:v>
                </c:pt>
                <c:pt idx="1">
                  <c:v>2776.5601828035792</c:v>
                </c:pt>
                <c:pt idx="2">
                  <c:v>2779.2878581616469</c:v>
                </c:pt>
                <c:pt idx="3">
                  <c:v>2666.7362379834935</c:v>
                </c:pt>
                <c:pt idx="4">
                  <c:v>2615.9611785350303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03-4894-91C6-4389FDB754D1}"/>
            </c:ext>
          </c:extLst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Sheet1!$O$3:$S$3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Sheet1!$O$7:$R$7</c:f>
              <c:numCache>
                <c:formatCode>0</c:formatCode>
                <c:ptCount val="4"/>
                <c:pt idx="0">
                  <c:v>2767</c:v>
                </c:pt>
                <c:pt idx="1">
                  <c:v>2580.1663590429189</c:v>
                </c:pt>
                <c:pt idx="2">
                  <c:v>2476.6929118404792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03-4894-91C6-4389FDB75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783336"/>
        <c:axId val="144979432"/>
      </c:lineChart>
      <c:catAx>
        <c:axId val="235783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4979432"/>
        <c:crosses val="autoZero"/>
        <c:auto val="1"/>
        <c:lblAlgn val="ctr"/>
        <c:lblOffset val="100"/>
        <c:noMultiLvlLbl val="0"/>
      </c:catAx>
      <c:valAx>
        <c:axId val="144979432"/>
        <c:scaling>
          <c:orientation val="minMax"/>
          <c:max val="45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5783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3910150629961438E-3"/>
          <c:y val="0.78274357581891318"/>
          <c:w val="0.97292514020742737"/>
          <c:h val="0.1780694647634479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Violent Crime Rate per 100,000 People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6237928567374"/>
          <c:y val="0.27449982796095973"/>
          <c:w val="0.85412249058993739"/>
          <c:h val="0.50661353737443249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</c:f>
              <c:strCache>
                <c:ptCount val="1"/>
                <c:pt idx="0">
                  <c:v>TX Urban Counties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Sheet1!$O$16:$S$16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Sheet1!$O$18:$S$18</c:f>
              <c:numCache>
                <c:formatCode>0</c:formatCode>
                <c:ptCount val="5"/>
                <c:pt idx="0">
                  <c:v>580.13749377006707</c:v>
                </c:pt>
                <c:pt idx="1">
                  <c:v>546.17867798884538</c:v>
                </c:pt>
                <c:pt idx="2">
                  <c:v>559.28294430666892</c:v>
                </c:pt>
                <c:pt idx="3">
                  <c:v>608.1574901853952</c:v>
                </c:pt>
                <c:pt idx="4">
                  <c:v>604.81352336799921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46-48C5-BE32-93B75C835F82}"/>
            </c:ext>
          </c:extLst>
        </c:ser>
        <c:ser>
          <c:idx val="2"/>
          <c:order val="1"/>
          <c:tx>
            <c:strRef>
              <c:f>Sheet1!$B$19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Sheet1!$O$16:$S$16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Sheet1!$O$19:$S$19</c:f>
              <c:numCache>
                <c:formatCode>0</c:formatCode>
                <c:ptCount val="5"/>
                <c:pt idx="0">
                  <c:v>435.30386372587691</c:v>
                </c:pt>
                <c:pt idx="1">
                  <c:v>413.39851148941818</c:v>
                </c:pt>
                <c:pt idx="2">
                  <c:v>415.60385766516282</c:v>
                </c:pt>
                <c:pt idx="3">
                  <c:v>442.88364616187198</c:v>
                </c:pt>
                <c:pt idx="4">
                  <c:v>449.1544049806011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46-48C5-BE32-93B75C835F82}"/>
            </c:ext>
          </c:extLst>
        </c:ser>
        <c:ser>
          <c:idx val="3"/>
          <c:order val="2"/>
          <c:tx>
            <c:strRef>
              <c:f>Sheet1!$B$20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Sheet1!$O$16:$S$16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Sheet1!$O$20:$S$20</c:f>
              <c:numCache>
                <c:formatCode>0</c:formatCode>
                <c:ptCount val="5"/>
                <c:pt idx="0">
                  <c:v>383.61742098894365</c:v>
                </c:pt>
                <c:pt idx="1">
                  <c:v>370.38362235964456</c:v>
                </c:pt>
                <c:pt idx="2">
                  <c:v>366.74681616570592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46-48C5-BE32-93B75C835F82}"/>
            </c:ext>
          </c:extLst>
        </c:ser>
        <c:ser>
          <c:idx val="0"/>
          <c:order val="3"/>
          <c:tx>
            <c:strRef>
              <c:f>Sheet1!$B$17</c:f>
              <c:strCache>
                <c:ptCount val="1"/>
                <c:pt idx="0">
                  <c:v>Travis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Sheet1!$O$16:$S$16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Sheet1!$O$17:$S$17</c:f>
              <c:numCache>
                <c:formatCode>0</c:formatCode>
                <c:ptCount val="5"/>
                <c:pt idx="0">
                  <c:v>385.51130379767494</c:v>
                </c:pt>
                <c:pt idx="1">
                  <c:v>371</c:v>
                </c:pt>
                <c:pt idx="2">
                  <c:v>381.61487353867852</c:v>
                </c:pt>
                <c:pt idx="3">
                  <c:v>419.54430553064765</c:v>
                </c:pt>
                <c:pt idx="4">
                  <c:v>439.80188760830151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46-48C5-BE32-93B75C835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458000"/>
        <c:axId val="509457680"/>
      </c:lineChart>
      <c:catAx>
        <c:axId val="50945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09457680"/>
        <c:crosses val="autoZero"/>
        <c:auto val="1"/>
        <c:lblAlgn val="ctr"/>
        <c:lblOffset val="100"/>
        <c:noMultiLvlLbl val="0"/>
      </c:catAx>
      <c:valAx>
        <c:axId val="50945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0945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71143152473E-2"/>
          <c:y val="0.88208244866103269"/>
          <c:w val="0.89999976914521973"/>
          <c:h val="0.104595015903121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Property Crime Rate per 100,000 People</a:t>
            </a:r>
          </a:p>
        </c:rich>
      </c:tx>
      <c:layout>
        <c:manualLayout>
          <c:xMode val="edge"/>
          <c:yMode val="edge"/>
          <c:x val="0.13980305778699145"/>
          <c:y val="1.99981733951859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48135938623831"/>
          <c:y val="0.2610727419122873"/>
          <c:w val="0.84327251581432239"/>
          <c:h val="0.52673561574953254"/>
        </c:manualLayout>
      </c:layout>
      <c:lineChart>
        <c:grouping val="standard"/>
        <c:varyColors val="0"/>
        <c:ser>
          <c:idx val="1"/>
          <c:order val="0"/>
          <c:tx>
            <c:strRef>
              <c:f>Sheet1!$B$26</c:f>
              <c:strCache>
                <c:ptCount val="1"/>
                <c:pt idx="0">
                  <c:v>TX Urban Counties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Sheet1!$O$16:$S$16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Sheet1!$O$26:$S$26</c:f>
              <c:numCache>
                <c:formatCode>0</c:formatCode>
                <c:ptCount val="5"/>
                <c:pt idx="0">
                  <c:v>3144.7320037985874</c:v>
                </c:pt>
                <c:pt idx="1">
                  <c:v>2943.4298480879374</c:v>
                </c:pt>
                <c:pt idx="2">
                  <c:v>3042.29</c:v>
                </c:pt>
                <c:pt idx="3">
                  <c:v>2888.4542119396119</c:v>
                </c:pt>
                <c:pt idx="4">
                  <c:v>2884.8919192913427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9E-4518-90DB-6B8CDD1A6B27}"/>
            </c:ext>
          </c:extLst>
        </c:ser>
        <c:ser>
          <c:idx val="0"/>
          <c:order val="1"/>
          <c:tx>
            <c:strRef>
              <c:f>Sheet1!$B$25</c:f>
              <c:strCache>
                <c:ptCount val="1"/>
                <c:pt idx="0">
                  <c:v>Travis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Sheet1!$O$16:$S$16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Sheet1!$O$25:$S$25</c:f>
              <c:numCache>
                <c:formatCode>0</c:formatCode>
                <c:ptCount val="5"/>
                <c:pt idx="0">
                  <c:v>2884.6505099086507</c:v>
                </c:pt>
                <c:pt idx="1">
                  <c:v>3022.9322164514601</c:v>
                </c:pt>
                <c:pt idx="2">
                  <c:v>3244.8685286508098</c:v>
                </c:pt>
                <c:pt idx="3">
                  <c:v>3142.266298269361</c:v>
                </c:pt>
                <c:pt idx="4">
                  <c:v>2915.4739028405002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9E-4518-90DB-6B8CDD1A6B27}"/>
            </c:ext>
          </c:extLst>
        </c:ser>
        <c:ser>
          <c:idx val="2"/>
          <c:order val="2"/>
          <c:tx>
            <c:strRef>
              <c:f>Sheet1!$B$27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Sheet1!$O$16:$S$16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Sheet1!$O$27:$S$27</c:f>
              <c:numCache>
                <c:formatCode>0</c:formatCode>
                <c:ptCount val="5"/>
                <c:pt idx="0">
                  <c:v>2539.6723556838615</c:v>
                </c:pt>
                <c:pt idx="1">
                  <c:v>2363.1616713141611</c:v>
                </c:pt>
                <c:pt idx="2">
                  <c:v>2363.6840004964843</c:v>
                </c:pt>
                <c:pt idx="3">
                  <c:v>2223.8525918216214</c:v>
                </c:pt>
                <c:pt idx="4">
                  <c:v>2166.8067735544291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9E-4518-90DB-6B8CDD1A6B27}"/>
            </c:ext>
          </c:extLst>
        </c:ser>
        <c:ser>
          <c:idx val="3"/>
          <c:order val="3"/>
          <c:tx>
            <c:strRef>
              <c:f>Sheet1!$B$28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Sheet1!$O$16:$S$16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Sheet1!$O$28:$S$28</c:f>
              <c:numCache>
                <c:formatCode>0</c:formatCode>
                <c:ptCount val="5"/>
                <c:pt idx="0">
                  <c:v>2362.9266580527405</c:v>
                </c:pt>
                <c:pt idx="1">
                  <c:v>2209.7827366832744</c:v>
                </c:pt>
                <c:pt idx="2">
                  <c:v>2109.9460956747735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9E-4518-90DB-6B8CDD1A6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458000"/>
        <c:axId val="509457680"/>
      </c:lineChart>
      <c:catAx>
        <c:axId val="50945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09457680"/>
        <c:crosses val="autoZero"/>
        <c:auto val="1"/>
        <c:lblAlgn val="ctr"/>
        <c:lblOffset val="100"/>
        <c:noMultiLvlLbl val="0"/>
      </c:catAx>
      <c:valAx>
        <c:axId val="50945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0945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664790779198369E-2"/>
          <c:y val="0.89532977040417305"/>
          <c:w val="0.89999976914521973"/>
          <c:h val="0.104670229595826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Property Crime Rate per 100,000 People</a:t>
            </a:r>
          </a:p>
        </c:rich>
      </c:tx>
      <c:layout>
        <c:manualLayout>
          <c:xMode val="edge"/>
          <c:yMode val="edge"/>
          <c:x val="0.13980305778699145"/>
          <c:y val="1.99981733951859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9300080939649"/>
          <c:y val="0.2610727419122873"/>
          <c:w val="0.83595328263727831"/>
          <c:h val="0.52673561574953254"/>
        </c:manualLayout>
      </c:layout>
      <c:lineChart>
        <c:grouping val="standard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Travis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Sheet1!$O$16:$S$16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Sheet1!$O$25:$S$25</c:f>
              <c:numCache>
                <c:formatCode>0</c:formatCode>
                <c:ptCount val="5"/>
                <c:pt idx="0">
                  <c:v>2884.6505099086507</c:v>
                </c:pt>
                <c:pt idx="1">
                  <c:v>3022.9322164514601</c:v>
                </c:pt>
                <c:pt idx="2">
                  <c:v>3244.8685286508098</c:v>
                </c:pt>
                <c:pt idx="3">
                  <c:v>3142.266298269361</c:v>
                </c:pt>
                <c:pt idx="4">
                  <c:v>2915.4739028405002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33-4D1D-997F-FD89E17083C1}"/>
            </c:ext>
          </c:extLst>
        </c:ser>
        <c:ser>
          <c:idx val="1"/>
          <c:order val="1"/>
          <c:tx>
            <c:strRef>
              <c:f>Sheet1!$B$26</c:f>
              <c:strCache>
                <c:ptCount val="1"/>
                <c:pt idx="0">
                  <c:v>TX Urban Counties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Sheet1!$O$16:$S$16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Sheet1!$O$26:$S$26</c:f>
              <c:numCache>
                <c:formatCode>0</c:formatCode>
                <c:ptCount val="5"/>
                <c:pt idx="0">
                  <c:v>3144.7320037985874</c:v>
                </c:pt>
                <c:pt idx="1">
                  <c:v>2943.4298480879374</c:v>
                </c:pt>
                <c:pt idx="2">
                  <c:v>3042.29</c:v>
                </c:pt>
                <c:pt idx="3">
                  <c:v>2888.4542119396119</c:v>
                </c:pt>
                <c:pt idx="4">
                  <c:v>2884.8919192913427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33-4D1D-997F-FD89E17083C1}"/>
            </c:ext>
          </c:extLst>
        </c:ser>
        <c:ser>
          <c:idx val="2"/>
          <c:order val="2"/>
          <c:tx>
            <c:strRef>
              <c:f>Sheet1!$B$27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Sheet1!$O$16:$S$16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Sheet1!$O$27:$S$27</c:f>
              <c:numCache>
                <c:formatCode>0</c:formatCode>
                <c:ptCount val="5"/>
                <c:pt idx="0">
                  <c:v>2539.6723556838615</c:v>
                </c:pt>
                <c:pt idx="1">
                  <c:v>2363.1616713141611</c:v>
                </c:pt>
                <c:pt idx="2">
                  <c:v>2363.6840004964843</c:v>
                </c:pt>
                <c:pt idx="3">
                  <c:v>2223.8525918216214</c:v>
                </c:pt>
                <c:pt idx="4">
                  <c:v>2166.8067735544291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33-4D1D-997F-FD89E17083C1}"/>
            </c:ext>
          </c:extLst>
        </c:ser>
        <c:ser>
          <c:idx val="3"/>
          <c:order val="3"/>
          <c:tx>
            <c:strRef>
              <c:f>Sheet1!$B$28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Sheet1!$O$16:$S$16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Sheet1!$O$28:$S$28</c:f>
              <c:numCache>
                <c:formatCode>0</c:formatCode>
                <c:ptCount val="5"/>
                <c:pt idx="0">
                  <c:v>2362.9266580527405</c:v>
                </c:pt>
                <c:pt idx="1">
                  <c:v>2209.7827366832744</c:v>
                </c:pt>
                <c:pt idx="2">
                  <c:v>2109.9460956747735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33-4D1D-997F-FD89E1708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458000"/>
        <c:axId val="509457680"/>
      </c:lineChart>
      <c:catAx>
        <c:axId val="50945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09457680"/>
        <c:crosses val="autoZero"/>
        <c:auto val="1"/>
        <c:lblAlgn val="ctr"/>
        <c:lblOffset val="100"/>
        <c:noMultiLvlLbl val="0"/>
      </c:catAx>
      <c:valAx>
        <c:axId val="50945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0945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664790779198369E-2"/>
          <c:y val="0.89532977040417305"/>
          <c:w val="0.89999976914521973"/>
          <c:h val="0.104670229595826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Overall Crime Rate per 100,000 People</a:t>
            </a:r>
          </a:p>
        </c:rich>
      </c:tx>
      <c:layout>
        <c:manualLayout>
          <c:xMode val="edge"/>
          <c:yMode val="edge"/>
          <c:x val="0.15381769040187912"/>
          <c:y val="5.0942953765643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25143835470277"/>
          <c:y val="0.22777069207868092"/>
          <c:w val="0.77872892943731398"/>
          <c:h val="0.52243042210950519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Travis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Sheet1!$O$3:$S$3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Sheet1!$O$4:$S$4</c:f>
              <c:numCache>
                <c:formatCode>0</c:formatCode>
                <c:ptCount val="5"/>
                <c:pt idx="0">
                  <c:v>3270</c:v>
                </c:pt>
                <c:pt idx="1">
                  <c:v>3394.4282543933209</c:v>
                </c:pt>
                <c:pt idx="2">
                  <c:v>3626.4834021894885</c:v>
                </c:pt>
                <c:pt idx="3">
                  <c:v>3561.8106038000087</c:v>
                </c:pt>
                <c:pt idx="4">
                  <c:v>3355.2757904488017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B-4AB3-9A88-9D2A455894F7}"/>
            </c:ext>
          </c:extLst>
        </c:ser>
        <c:ser>
          <c:idx val="1"/>
          <c:order val="1"/>
          <c:tx>
            <c:strRef>
              <c:f>Sheet1!$A$5:$B$5</c:f>
              <c:strCache>
                <c:ptCount val="2"/>
                <c:pt idx="1">
                  <c:v>TX Urban Counties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Sheet1!$O$3:$S$3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Sheet1!$O$5:$S$5</c:f>
              <c:numCache>
                <c:formatCode>0</c:formatCode>
                <c:ptCount val="5"/>
                <c:pt idx="0">
                  <c:v>3725</c:v>
                </c:pt>
                <c:pt idx="1">
                  <c:v>3489.6085260767832</c:v>
                </c:pt>
                <c:pt idx="2">
                  <c:v>3048.8459527897476</c:v>
                </c:pt>
                <c:pt idx="3">
                  <c:v>3496.611702125007</c:v>
                </c:pt>
                <c:pt idx="4">
                  <c:v>3489.7054426593418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3B-4AB3-9A88-9D2A455894F7}"/>
            </c:ext>
          </c:extLst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rgbClr val="7B9B60"/>
              </a:solidFill>
              <a:round/>
            </a:ln>
            <a:effectLst/>
          </c:spPr>
          <c:marker>
            <c:symbol val="none"/>
          </c:marker>
          <c:cat>
            <c:numRef>
              <c:f>Sheet1!$O$3:$S$3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Sheet1!$O$6:$S$6</c:f>
              <c:numCache>
                <c:formatCode>0</c:formatCode>
                <c:ptCount val="5"/>
                <c:pt idx="0">
                  <c:v>2975</c:v>
                </c:pt>
                <c:pt idx="1">
                  <c:v>2776.5601828035792</c:v>
                </c:pt>
                <c:pt idx="2">
                  <c:v>2779.2878581616469</c:v>
                </c:pt>
                <c:pt idx="3">
                  <c:v>2666.7362379834935</c:v>
                </c:pt>
                <c:pt idx="4">
                  <c:v>2615.9611785350303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3B-4AB3-9A88-9D2A455894F7}"/>
            </c:ext>
          </c:extLst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Sheet1!$O$3:$S$3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Sheet1!$O$7:$S$7</c:f>
              <c:numCache>
                <c:formatCode>0</c:formatCode>
                <c:ptCount val="5"/>
                <c:pt idx="0">
                  <c:v>2767</c:v>
                </c:pt>
                <c:pt idx="1">
                  <c:v>2580.1663590429189</c:v>
                </c:pt>
                <c:pt idx="2">
                  <c:v>2476.6929118404792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3B-4AB3-9A88-9D2A45589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783336"/>
        <c:axId val="144979432"/>
      </c:lineChart>
      <c:catAx>
        <c:axId val="235783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4979432"/>
        <c:crosses val="autoZero"/>
        <c:auto val="1"/>
        <c:lblAlgn val="ctr"/>
        <c:lblOffset val="100"/>
        <c:noMultiLvlLbl val="0"/>
      </c:catAx>
      <c:valAx>
        <c:axId val="144979432"/>
        <c:scaling>
          <c:orientation val="minMax"/>
          <c:max val="45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5783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3910150629961438E-3"/>
          <c:y val="0.78274357581891318"/>
          <c:w val="0.97292514020742737"/>
          <c:h val="0.1780694647634479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Violent Crime in Travis County, </a:t>
            </a:r>
          </a:p>
          <a:p>
            <a:pPr>
              <a:defRPr/>
            </a:pPr>
            <a:r>
              <a:rPr lang="en-US"/>
              <a:t>Extended 5-Year Trend,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Sheet1!$K$46</c:f>
              <c:strCache>
                <c:ptCount val="1"/>
                <c:pt idx="0">
                  <c:v>Travis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Sheet1!$N$45:$W$45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Sheet1!$N$46:$W$46</c:f>
              <c:numCache>
                <c:formatCode>0</c:formatCode>
                <c:ptCount val="10"/>
                <c:pt idx="0">
                  <c:v>387.42793190526083</c:v>
                </c:pt>
                <c:pt idx="1">
                  <c:v>385.51130379767494</c:v>
                </c:pt>
                <c:pt idx="2">
                  <c:v>371</c:v>
                </c:pt>
                <c:pt idx="3">
                  <c:v>381.61487353867852</c:v>
                </c:pt>
                <c:pt idx="4">
                  <c:v>419.54430553064765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5D-4588-B519-A86CF5561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649552"/>
        <c:axId val="501601912"/>
      </c:lineChart>
      <c:catAx>
        <c:axId val="61264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601912"/>
        <c:crosses val="autoZero"/>
        <c:auto val="1"/>
        <c:lblAlgn val="ctr"/>
        <c:lblOffset val="100"/>
        <c:noMultiLvlLbl val="0"/>
      </c:catAx>
      <c:valAx>
        <c:axId val="50160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64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Property Crime in Travis County, </a:t>
            </a:r>
          </a:p>
          <a:p>
            <a:pPr>
              <a:defRPr/>
            </a:pPr>
            <a:r>
              <a:rPr lang="en-US"/>
              <a:t>Extended 5-Year Trend,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Sheet1!$K$52</c:f>
              <c:strCache>
                <c:ptCount val="1"/>
                <c:pt idx="0">
                  <c:v>Travis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Sheet1!$N$51:$W$51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Sheet1!$N$52:$W$52</c:f>
              <c:numCache>
                <c:formatCode>0</c:formatCode>
                <c:ptCount val="10"/>
                <c:pt idx="0">
                  <c:v>3138.7369278740448</c:v>
                </c:pt>
                <c:pt idx="1">
                  <c:v>2884.6505099086507</c:v>
                </c:pt>
                <c:pt idx="2">
                  <c:v>3022.9322164514601</c:v>
                </c:pt>
                <c:pt idx="3">
                  <c:v>3244.8685286508098</c:v>
                </c:pt>
                <c:pt idx="4">
                  <c:v>3142.266298269361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46-4170-A069-1391F14B8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669304"/>
        <c:axId val="601670584"/>
      </c:lineChart>
      <c:catAx>
        <c:axId val="601669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670584"/>
        <c:crosses val="autoZero"/>
        <c:auto val="1"/>
        <c:lblAlgn val="ctr"/>
        <c:lblOffset val="100"/>
        <c:noMultiLvlLbl val="0"/>
      </c:catAx>
      <c:valAx>
        <c:axId val="60167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669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image" Target="../media/image1.png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578586</xdr:colOff>
      <xdr:row>0</xdr:row>
      <xdr:rowOff>64365</xdr:rowOff>
    </xdr:from>
    <xdr:to>
      <xdr:col>48</xdr:col>
      <xdr:colOff>71736</xdr:colOff>
      <xdr:row>13</xdr:row>
      <xdr:rowOff>13648</xdr:rowOff>
    </xdr:to>
    <xdr:graphicFrame macro="">
      <xdr:nvGraphicFramePr>
        <xdr:cNvPr id="1562" name="Chart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321802</xdr:colOff>
      <xdr:row>0</xdr:row>
      <xdr:rowOff>146454</xdr:rowOff>
    </xdr:from>
    <xdr:to>
      <xdr:col>34</xdr:col>
      <xdr:colOff>337703</xdr:colOff>
      <xdr:row>16</xdr:row>
      <xdr:rowOff>47972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491481</xdr:colOff>
      <xdr:row>5</xdr:row>
      <xdr:rowOff>158005</xdr:rowOff>
    </xdr:from>
    <xdr:to>
      <xdr:col>3</xdr:col>
      <xdr:colOff>305718</xdr:colOff>
      <xdr:row>5</xdr:row>
      <xdr:rowOff>161597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V="1">
          <a:off x="491481" y="1054476"/>
          <a:ext cx="2638119" cy="3592"/>
        </a:xfrm>
        <a:prstGeom prst="rect">
          <a:avLst/>
        </a:prstGeom>
        <a:solidFill>
          <a:srgbClr val="FFFFFF">
            <a:alpha val="2902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w Cen MT" panose="020B0602020104020603" pitchFamily="34" charset="0"/>
            </a:rPr>
            <a:t>Target: 1% annual</a:t>
          </a:r>
          <a:r>
            <a:rPr lang="en-US" sz="1100" baseline="0">
              <a:latin typeface="Tw Cen MT" panose="020B0602020104020603" pitchFamily="34" charset="0"/>
            </a:rPr>
            <a:t> reduction</a:t>
          </a:r>
          <a:endParaRPr lang="en-US" sz="1100">
            <a:latin typeface="Tw Cen MT" panose="020B0602020104020603" pitchFamily="34" charset="0"/>
          </a:endParaRPr>
        </a:p>
      </xdr:txBody>
    </xdr:sp>
    <xdr:clientData/>
  </xdr:twoCellAnchor>
  <xdr:twoCellAnchor>
    <xdr:from>
      <xdr:col>35</xdr:col>
      <xdr:colOff>330058</xdr:colOff>
      <xdr:row>18</xdr:row>
      <xdr:rowOff>93025</xdr:rowOff>
    </xdr:from>
    <xdr:to>
      <xdr:col>39</xdr:col>
      <xdr:colOff>383101</xdr:colOff>
      <xdr:row>36</xdr:row>
      <xdr:rowOff>106498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E132227F-5BAB-45F6-B9A5-335849C685B1}"/>
            </a:ext>
          </a:extLst>
        </xdr:cNvPr>
        <xdr:cNvGrpSpPr/>
      </xdr:nvGrpSpPr>
      <xdr:grpSpPr>
        <a:xfrm>
          <a:off x="18514149" y="3980957"/>
          <a:ext cx="2477588" cy="3442473"/>
          <a:chOff x="17415286" y="3442369"/>
          <a:chExt cx="2512187" cy="324816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7415286" y="3442369"/>
            <a:ext cx="2512187" cy="3248164"/>
          </a:xfrm>
          <a:prstGeom prst="rect">
            <a:avLst/>
          </a:prstGeom>
        </xdr:spPr>
      </xdr:pic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BF74C6B5-3544-4030-AB79-4F6A78214B1D}"/>
              </a:ext>
            </a:extLst>
          </xdr:cNvPr>
          <xdr:cNvSpPr txBox="1"/>
        </xdr:nvSpPr>
        <xdr:spPr>
          <a:xfrm>
            <a:off x="17875250" y="4826000"/>
            <a:ext cx="1893886" cy="338339"/>
          </a:xfrm>
          <a:prstGeom prst="rect">
            <a:avLst/>
          </a:prstGeom>
          <a:solidFill>
            <a:srgbClr val="FFFFFF">
              <a:alpha val="29020"/>
            </a:srgb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w Cen MT" panose="020B0602020104020603" pitchFamily="34" charset="0"/>
              </a:rPr>
              <a:t>Target: 1% annual</a:t>
            </a:r>
            <a:r>
              <a:rPr lang="en-US" sz="1100" baseline="0">
                <a:latin typeface="Tw Cen MT" panose="020B0602020104020603" pitchFamily="34" charset="0"/>
              </a:rPr>
              <a:t> reduction</a:t>
            </a:r>
            <a:endParaRPr lang="en-US" sz="1100">
              <a:latin typeface="Tw Cen MT" panose="020B0602020104020603" pitchFamily="34" charset="0"/>
            </a:endParaRPr>
          </a:p>
        </xdr:txBody>
      </xdr:sp>
    </xdr:grpSp>
    <xdr:clientData/>
  </xdr:twoCellAnchor>
  <xdr:twoCellAnchor>
    <xdr:from>
      <xdr:col>28</xdr:col>
      <xdr:colOff>225409</xdr:colOff>
      <xdr:row>17</xdr:row>
      <xdr:rowOff>172762</xdr:rowOff>
    </xdr:from>
    <xdr:to>
      <xdr:col>34</xdr:col>
      <xdr:colOff>47317</xdr:colOff>
      <xdr:row>28</xdr:row>
      <xdr:rowOff>56491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A716F59-9F2B-4A20-9F51-1479833B4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151972</xdr:colOff>
      <xdr:row>29</xdr:row>
      <xdr:rowOff>37455</xdr:rowOff>
    </xdr:from>
    <xdr:to>
      <xdr:col>33</xdr:col>
      <xdr:colOff>574244</xdr:colOff>
      <xdr:row>39</xdr:row>
      <xdr:rowOff>85449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9ED46B4-A07F-4016-8AF6-925C32608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51679</xdr:colOff>
      <xdr:row>43</xdr:row>
      <xdr:rowOff>55574</xdr:rowOff>
    </xdr:from>
    <xdr:to>
      <xdr:col>32</xdr:col>
      <xdr:colOff>460625</xdr:colOff>
      <xdr:row>53</xdr:row>
      <xdr:rowOff>111608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E21781-5FA6-43C7-9C0F-15A348009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49991</xdr:colOff>
      <xdr:row>40</xdr:row>
      <xdr:rowOff>82723</xdr:rowOff>
    </xdr:from>
    <xdr:to>
      <xdr:col>39</xdr:col>
      <xdr:colOff>468290</xdr:colOff>
      <xdr:row>58</xdr:row>
      <xdr:rowOff>95287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45C3DF51-3F5D-4ED0-93FC-DB658AD10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17585</xdr:colOff>
      <xdr:row>53</xdr:row>
      <xdr:rowOff>52753</xdr:rowOff>
    </xdr:from>
    <xdr:to>
      <xdr:col>15</xdr:col>
      <xdr:colOff>322385</xdr:colOff>
      <xdr:row>67</xdr:row>
      <xdr:rowOff>169984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2359195-28D3-4BE2-A034-3ECC91C2DE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99646</xdr:colOff>
      <xdr:row>53</xdr:row>
      <xdr:rowOff>29308</xdr:rowOff>
    </xdr:from>
    <xdr:to>
      <xdr:col>23</xdr:col>
      <xdr:colOff>99646</xdr:colOff>
      <xdr:row>67</xdr:row>
      <xdr:rowOff>146539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F361B6A-C07D-4D9F-9C26-9886A7E831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0.14505</cdr:x>
      <cdr:y>0.43647</cdr:y>
    </cdr:from>
    <cdr:to>
      <cdr:x>0.91407</cdr:x>
      <cdr:y>0.43758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EBBAA3A-BFA1-4378-A6D1-F1F4A0B69A2D}"/>
            </a:ext>
          </a:extLst>
        </cdr:cNvPr>
        <cdr:cNvCxnSpPr/>
      </cdr:nvCxnSpPr>
      <cdr:spPr>
        <a:xfrm xmlns:a="http://schemas.openxmlformats.org/drawingml/2006/main" flipV="1">
          <a:off x="497441" y="1431003"/>
          <a:ext cx="2637315" cy="363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0.56769</cdr:x>
      <cdr:y>0.44394</cdr:y>
    </cdr:from>
    <cdr:to>
      <cdr:x>0.97711</cdr:x>
      <cdr:y>0.50142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CD145C2-2350-4275-B4FE-0C58A1D2D416}"/>
            </a:ext>
          </a:extLst>
        </cdr:cNvPr>
        <cdr:cNvSpPr txBox="1"/>
      </cdr:nvSpPr>
      <cdr:spPr>
        <a:xfrm xmlns:a="http://schemas.openxmlformats.org/drawingml/2006/main">
          <a:off x="1946879" y="1455478"/>
          <a:ext cx="1404084" cy="188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Tw Cen MT" panose="020B0602020104020603" pitchFamily="34" charset="0"/>
            </a:rPr>
            <a:t>Target: 1% annual reduction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0.09744</cdr:x>
      <cdr:y>0.50401</cdr:y>
    </cdr:from>
    <cdr:to>
      <cdr:x>0.95182</cdr:x>
      <cdr:y>0.50509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F9F696E-0C69-4A50-A64F-FEA2213CE16F}"/>
            </a:ext>
          </a:extLst>
        </cdr:cNvPr>
        <cdr:cNvCxnSpPr/>
      </cdr:nvCxnSpPr>
      <cdr:spPr>
        <a:xfrm xmlns:a="http://schemas.openxmlformats.org/drawingml/2006/main" flipV="1">
          <a:off x="337212" y="953388"/>
          <a:ext cx="2956694" cy="2042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0.57546</cdr:x>
      <cdr:y>0.54765</cdr:y>
    </cdr:from>
    <cdr:to>
      <cdr:x>1</cdr:x>
      <cdr:y>0.6485</cdr:y>
    </cdr:to>
    <cdr:sp macro="" textlink="">
      <cdr:nvSpPr>
        <cdr:cNvPr id="15" name="TextBox 14">
          <a:extLst xmlns:a="http://schemas.openxmlformats.org/drawingml/2006/main">
            <a:ext uri="{FF2B5EF4-FFF2-40B4-BE49-F238E27FC236}">
              <a16:creationId xmlns:a16="http://schemas.microsoft.com/office/drawing/2014/main" id="{43327F37-1D40-4EFF-A877-05029372BA36}"/>
            </a:ext>
          </a:extLst>
        </cdr:cNvPr>
        <cdr:cNvSpPr txBox="1"/>
      </cdr:nvSpPr>
      <cdr:spPr>
        <a:xfrm xmlns:a="http://schemas.openxmlformats.org/drawingml/2006/main">
          <a:off x="2002320" y="1043412"/>
          <a:ext cx="1477187" cy="192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Tw Cen MT" panose="020B0602020104020603" pitchFamily="34" charset="0"/>
            </a:rPr>
            <a:t>Target: 1% annual</a:t>
          </a:r>
          <a:r>
            <a:rPr lang="en-US" sz="800" baseline="0">
              <a:latin typeface="Tw Cen MT" panose="020B0602020104020603" pitchFamily="34" charset="0"/>
            </a:rPr>
            <a:t> reduction</a:t>
          </a:r>
          <a:endParaRPr lang="en-US" sz="800">
            <a:latin typeface="Tw Cen MT" panose="020B0602020104020603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0.11299</cdr:x>
      <cdr:y>0.41511</cdr:y>
    </cdr:from>
    <cdr:to>
      <cdr:x>0.96203</cdr:x>
      <cdr:y>0.41511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36FA2CFB-9A0B-4306-AC20-EDC2546F09EF}"/>
            </a:ext>
          </a:extLst>
        </cdr:cNvPr>
        <cdr:cNvCxnSpPr/>
      </cdr:nvCxnSpPr>
      <cdr:spPr>
        <a:xfrm xmlns:a="http://schemas.openxmlformats.org/drawingml/2006/main">
          <a:off x="390157" y="775549"/>
          <a:ext cx="2931696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0.51875</cdr:x>
      <cdr:y>0.24935</cdr:y>
    </cdr:from>
    <cdr:to>
      <cdr:x>1</cdr:x>
      <cdr:y>0.35011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5481A71-2F25-4DAE-AD02-A5A12E69C037}"/>
            </a:ext>
          </a:extLst>
        </cdr:cNvPr>
        <cdr:cNvSpPr txBox="1"/>
      </cdr:nvSpPr>
      <cdr:spPr>
        <a:xfrm xmlns:a="http://schemas.openxmlformats.org/drawingml/2006/main">
          <a:off x="1800194" y="469705"/>
          <a:ext cx="1670078" cy="189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Tw Cen MT" panose="020B0602020104020603" pitchFamily="34" charset="0"/>
            </a:rPr>
            <a:t>Target: 1% annual</a:t>
          </a:r>
          <a:r>
            <a:rPr lang="en-US" sz="800" baseline="0">
              <a:latin typeface="Tw Cen MT" panose="020B0602020104020603" pitchFamily="34" charset="0"/>
            </a:rPr>
            <a:t> reduction</a:t>
          </a:r>
          <a:endParaRPr lang="en-US" sz="800">
            <a:latin typeface="Tw Cen MT" panose="020B0602020104020603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0.1483</cdr:x>
      <cdr:y>0.41896</cdr:y>
    </cdr:from>
    <cdr:to>
      <cdr:x>0.91732</cdr:x>
      <cdr:y>0.42007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EBBAA3A-BFA1-4378-A6D1-F1F4A0B69A2D}"/>
            </a:ext>
          </a:extLst>
        </cdr:cNvPr>
        <cdr:cNvCxnSpPr/>
      </cdr:nvCxnSpPr>
      <cdr:spPr>
        <a:xfrm xmlns:a="http://schemas.openxmlformats.org/drawingml/2006/main" flipV="1">
          <a:off x="513207" y="1393194"/>
          <a:ext cx="2661214" cy="3692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0.5657</cdr:x>
      <cdr:y>0.47022</cdr:y>
    </cdr:from>
    <cdr:to>
      <cdr:x>0.95433</cdr:x>
      <cdr:y>0.52656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C27F3B8-2450-4A47-ACC9-92992C4278B1}"/>
            </a:ext>
          </a:extLst>
        </cdr:cNvPr>
        <cdr:cNvSpPr txBox="1"/>
      </cdr:nvSpPr>
      <cdr:spPr>
        <a:xfrm xmlns:a="http://schemas.openxmlformats.org/drawingml/2006/main">
          <a:off x="1961266" y="1556151"/>
          <a:ext cx="1347354" cy="186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Tw Cen MT" panose="020B0602020104020603" pitchFamily="34" charset="0"/>
            </a:rPr>
            <a:t>Target: 1% annual reduction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5"/>
  <sheetViews>
    <sheetView tabSelected="1" topLeftCell="A16" zoomScale="110" zoomScaleNormal="110" workbookViewId="0">
      <selection activeCell="S17" sqref="S17"/>
    </sheetView>
  </sheetViews>
  <sheetFormatPr defaultRowHeight="15" x14ac:dyDescent="0.25"/>
  <cols>
    <col min="1" max="1" width="23.7109375" customWidth="1"/>
    <col min="3" max="4" width="8.85546875" customWidth="1"/>
    <col min="5" max="7" width="8.85546875" hidden="1" customWidth="1"/>
    <col min="8" max="8" width="11.140625" hidden="1" customWidth="1"/>
    <col min="9" max="11" width="8.85546875" hidden="1" customWidth="1"/>
    <col min="19" max="19" width="10.5703125" customWidth="1"/>
    <col min="20" max="20" width="11.7109375" customWidth="1"/>
  </cols>
  <sheetData>
    <row r="1" spans="1:73" x14ac:dyDescent="0.25">
      <c r="A1" s="9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</row>
    <row r="2" spans="1:7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73" x14ac:dyDescent="0.25">
      <c r="A3" s="10"/>
      <c r="B3" s="10"/>
      <c r="C3" s="12">
        <v>2005</v>
      </c>
      <c r="D3" s="12">
        <v>2006</v>
      </c>
      <c r="E3" s="12">
        <v>2007</v>
      </c>
      <c r="F3" s="12">
        <v>2008</v>
      </c>
      <c r="G3" s="12">
        <v>2009</v>
      </c>
      <c r="H3" s="12">
        <v>2010</v>
      </c>
      <c r="I3" s="12">
        <v>2011</v>
      </c>
      <c r="J3" s="12">
        <v>2012</v>
      </c>
      <c r="K3" s="12">
        <v>2013</v>
      </c>
      <c r="L3" s="12">
        <v>2014</v>
      </c>
      <c r="M3" s="12">
        <v>2015</v>
      </c>
      <c r="N3" s="12">
        <v>2016</v>
      </c>
      <c r="O3" s="12">
        <v>2017</v>
      </c>
      <c r="P3" s="12">
        <v>2018</v>
      </c>
      <c r="Q3" s="12">
        <v>2019</v>
      </c>
      <c r="R3" s="12">
        <v>2020</v>
      </c>
      <c r="S3" s="12">
        <v>2021</v>
      </c>
      <c r="T3" s="10"/>
      <c r="U3" s="12" t="s">
        <v>52</v>
      </c>
      <c r="V3" s="12" t="s">
        <v>53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x14ac:dyDescent="0.25">
      <c r="A4" s="10"/>
      <c r="B4" s="13" t="s">
        <v>0</v>
      </c>
      <c r="C4" s="14"/>
      <c r="D4" s="14"/>
      <c r="E4" s="14">
        <v>5893.9657745235654</v>
      </c>
      <c r="F4" s="14">
        <v>5546.1151204027474</v>
      </c>
      <c r="G4" s="14">
        <v>5819.5399667084985</v>
      </c>
      <c r="H4" s="14">
        <v>5357.0509984670625</v>
      </c>
      <c r="I4" s="14">
        <v>4885.3991268593163</v>
      </c>
      <c r="J4" s="10">
        <v>4806</v>
      </c>
      <c r="K4" s="15">
        <v>4453</v>
      </c>
      <c r="L4" s="15">
        <v>3988</v>
      </c>
      <c r="M4" s="14">
        <v>3676.6157090736847</v>
      </c>
      <c r="N4" s="14">
        <v>3526</v>
      </c>
      <c r="O4" s="14">
        <v>3270</v>
      </c>
      <c r="P4" s="14">
        <v>3394.4282543933209</v>
      </c>
      <c r="Q4" s="14">
        <v>3626.4834021894885</v>
      </c>
      <c r="R4" s="14">
        <v>3561.8106038000087</v>
      </c>
      <c r="S4" s="14">
        <v>3355.2757904488017</v>
      </c>
      <c r="T4" s="10"/>
      <c r="U4" s="14">
        <f>R4-(R4*0.01)</f>
        <v>3526.1924977620088</v>
      </c>
      <c r="V4" s="14">
        <f>S4-(S4*0.01)</f>
        <v>3321.7230325443138</v>
      </c>
      <c r="W4" s="11"/>
      <c r="X4" s="11"/>
      <c r="Y4" s="11"/>
      <c r="Z4" s="11"/>
      <c r="AA4" s="11"/>
      <c r="AB4" s="16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</row>
    <row r="5" spans="1:73" x14ac:dyDescent="0.25">
      <c r="A5" s="10"/>
      <c r="B5" s="13" t="s">
        <v>5</v>
      </c>
      <c r="C5" s="14"/>
      <c r="D5" s="14"/>
      <c r="E5" s="14">
        <v>5679.1313576062739</v>
      </c>
      <c r="F5" s="14">
        <v>5526.807467680449</v>
      </c>
      <c r="G5" s="14">
        <v>5522.8241064297645</v>
      </c>
      <c r="H5" s="14">
        <v>5188.031028343471</v>
      </c>
      <c r="I5" s="14">
        <v>4546.2585662996953</v>
      </c>
      <c r="J5" s="14">
        <v>4625.3181628074462</v>
      </c>
      <c r="K5" s="14">
        <v>4477.856735622302</v>
      </c>
      <c r="L5" s="14">
        <v>4127.3937777591045</v>
      </c>
      <c r="M5" s="14">
        <v>3909.8232560166866</v>
      </c>
      <c r="N5" s="14">
        <v>3907</v>
      </c>
      <c r="O5" s="14">
        <v>3725</v>
      </c>
      <c r="P5" s="14">
        <v>3489.6085260767832</v>
      </c>
      <c r="Q5" s="14">
        <v>3048.8459527897476</v>
      </c>
      <c r="R5" s="14">
        <v>3496.611702125007</v>
      </c>
      <c r="S5" s="14">
        <v>3489.7054426593418</v>
      </c>
      <c r="T5" s="10"/>
      <c r="U5" s="11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</row>
    <row r="6" spans="1:73" x14ac:dyDescent="0.25">
      <c r="A6" s="10"/>
      <c r="B6" s="13" t="s">
        <v>1</v>
      </c>
      <c r="C6" s="14"/>
      <c r="D6" s="14"/>
      <c r="E6" s="14">
        <v>4631.1000000000004</v>
      </c>
      <c r="F6" s="14">
        <v>4494.7</v>
      </c>
      <c r="G6" s="14">
        <v>4507</v>
      </c>
      <c r="H6" s="14">
        <v>4236.3999999999996</v>
      </c>
      <c r="I6" s="14">
        <v>3884.7</v>
      </c>
      <c r="J6" s="14">
        <v>3811.8</v>
      </c>
      <c r="K6" s="14">
        <v>3625.6</v>
      </c>
      <c r="L6" s="14">
        <v>3392.2</v>
      </c>
      <c r="M6" s="14">
        <v>3233.3</v>
      </c>
      <c r="N6" s="14">
        <v>3182.7</v>
      </c>
      <c r="O6" s="14">
        <v>2975</v>
      </c>
      <c r="P6" s="14">
        <v>2776.5601828035792</v>
      </c>
      <c r="Q6" s="14">
        <v>2779.2878581616469</v>
      </c>
      <c r="R6" s="14">
        <v>2666.7362379834935</v>
      </c>
      <c r="S6" s="14">
        <v>2615.9611785350303</v>
      </c>
      <c r="T6" s="10"/>
      <c r="U6" s="12" t="s">
        <v>40</v>
      </c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</row>
    <row r="7" spans="1:73" x14ac:dyDescent="0.25">
      <c r="A7" s="10"/>
      <c r="B7" s="13" t="s">
        <v>2</v>
      </c>
      <c r="C7" s="14"/>
      <c r="D7" s="14"/>
      <c r="E7" s="14">
        <v>3748.1395908842028</v>
      </c>
      <c r="F7" s="14">
        <v>3673.1642234865676</v>
      </c>
      <c r="G7" s="14">
        <v>3473.2014675256924</v>
      </c>
      <c r="H7" s="14">
        <v>3350.4237101387112</v>
      </c>
      <c r="I7" s="14">
        <v>3294.9304650929053</v>
      </c>
      <c r="J7" s="14">
        <f>((1214462+8975438)/313914040)*100000</f>
        <v>3246.0797229712948</v>
      </c>
      <c r="K7" s="14">
        <f>((1163146+8632512)/316128839)*100000</f>
        <v>3098.6284044778336</v>
      </c>
      <c r="L7" s="14">
        <v>2961.5816311118419</v>
      </c>
      <c r="M7" s="14">
        <v>2859.6131987541985</v>
      </c>
      <c r="N7" s="14">
        <v>2837</v>
      </c>
      <c r="O7" s="14">
        <v>2767</v>
      </c>
      <c r="P7" s="14">
        <v>2580.1663590429189</v>
      </c>
      <c r="Q7" s="14">
        <v>2476.6929118404792</v>
      </c>
      <c r="R7" s="14"/>
      <c r="S7" s="14"/>
      <c r="T7" s="10"/>
      <c r="U7" s="18">
        <f>(S4-O4)/O4</f>
        <v>2.607822337883843E-2</v>
      </c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</row>
    <row r="8" spans="1:73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2" t="s">
        <v>54</v>
      </c>
      <c r="V8" s="10"/>
      <c r="W8" s="11"/>
      <c r="X8" s="12" t="s">
        <v>55</v>
      </c>
      <c r="Y8" s="11"/>
      <c r="Z8" s="11"/>
      <c r="AA8" s="11" t="s">
        <v>27</v>
      </c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73" x14ac:dyDescent="0.25">
      <c r="A9" s="17"/>
      <c r="B9" s="1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0"/>
      <c r="U9" s="18">
        <f>(S4-R4)/R4</f>
        <v>-5.7985905575905723E-2</v>
      </c>
      <c r="V9" s="10"/>
      <c r="W9" s="11"/>
      <c r="X9" s="20">
        <f>(S4-O4)/O4</f>
        <v>2.607822337883843E-2</v>
      </c>
      <c r="Y9" s="11"/>
      <c r="Z9" s="11"/>
      <c r="AA9" s="21">
        <f>(O4-K4)/K4</f>
        <v>-0.26566359757466879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ht="51" customHeight="1" x14ac:dyDescent="0.25">
      <c r="A10" s="31" t="s">
        <v>22</v>
      </c>
      <c r="B10" s="31"/>
      <c r="C10" s="31"/>
      <c r="D10" s="14"/>
      <c r="E10" s="14"/>
      <c r="F10" s="14"/>
      <c r="G10" s="14"/>
      <c r="H10" s="14"/>
      <c r="I10" s="14"/>
      <c r="J10" s="10"/>
      <c r="K10" s="15"/>
      <c r="L10" s="15"/>
      <c r="M10" s="15"/>
      <c r="N10" s="15"/>
      <c r="O10" s="15"/>
      <c r="P10" s="15"/>
      <c r="Q10" s="15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</row>
    <row r="11" spans="1:73" x14ac:dyDescent="0.25">
      <c r="A11" s="10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0"/>
      <c r="S11" s="10"/>
      <c r="T11" s="10"/>
      <c r="U11" s="10"/>
      <c r="V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3" x14ac:dyDescent="0.25">
      <c r="A12" s="10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0"/>
      <c r="S12" s="10"/>
      <c r="T12" s="10"/>
      <c r="U12" s="10"/>
      <c r="V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</row>
    <row r="13" spans="1:73" x14ac:dyDescent="0.25">
      <c r="A13" s="10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0"/>
      <c r="S13" s="10"/>
      <c r="T13" s="10"/>
      <c r="U13" s="10"/>
      <c r="V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</row>
    <row r="14" spans="1:73" x14ac:dyDescent="0.25">
      <c r="A14" s="9" t="s">
        <v>38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0"/>
      <c r="S14" s="10"/>
      <c r="T14" s="10"/>
      <c r="U14" s="10"/>
      <c r="V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</row>
    <row r="15" spans="1:73" x14ac:dyDescent="0.25">
      <c r="A15" s="10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0"/>
      <c r="S15" s="10"/>
      <c r="T15" s="10"/>
      <c r="U15" s="10"/>
      <c r="V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</row>
    <row r="16" spans="1:73" x14ac:dyDescent="0.25">
      <c r="A16" s="10" t="s">
        <v>29</v>
      </c>
      <c r="B16" s="13"/>
      <c r="C16" s="12">
        <v>2005</v>
      </c>
      <c r="D16" s="12">
        <v>2006</v>
      </c>
      <c r="E16" s="12">
        <v>2007</v>
      </c>
      <c r="F16" s="12">
        <v>2008</v>
      </c>
      <c r="G16" s="12">
        <v>2009</v>
      </c>
      <c r="H16" s="12">
        <v>2010</v>
      </c>
      <c r="I16" s="12">
        <v>2011</v>
      </c>
      <c r="J16" s="12">
        <v>2012</v>
      </c>
      <c r="K16" s="12">
        <v>2013</v>
      </c>
      <c r="L16" s="12">
        <v>2014</v>
      </c>
      <c r="M16" s="12">
        <v>2015</v>
      </c>
      <c r="N16" s="12">
        <v>2016</v>
      </c>
      <c r="O16" s="12">
        <v>2017</v>
      </c>
      <c r="P16" s="12">
        <v>2018</v>
      </c>
      <c r="Q16" s="12">
        <v>2019</v>
      </c>
      <c r="R16" s="12">
        <v>2020</v>
      </c>
      <c r="S16" s="12">
        <v>2021</v>
      </c>
      <c r="T16" s="10"/>
      <c r="U16" s="12" t="s">
        <v>52</v>
      </c>
      <c r="V16" s="12" t="s">
        <v>53</v>
      </c>
      <c r="W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x14ac:dyDescent="0.25">
      <c r="A17" s="10"/>
      <c r="B17" s="13" t="s">
        <v>0</v>
      </c>
      <c r="C17" s="14"/>
      <c r="D17" s="14"/>
      <c r="E17" s="14"/>
      <c r="F17" s="14"/>
      <c r="G17" s="14"/>
      <c r="H17" s="14"/>
      <c r="I17" s="14"/>
      <c r="J17" s="14"/>
      <c r="K17" s="14"/>
      <c r="L17" s="14">
        <v>357</v>
      </c>
      <c r="M17" s="14">
        <v>347.52235251848981</v>
      </c>
      <c r="N17" s="5">
        <v>387.42793190526083</v>
      </c>
      <c r="O17" s="14">
        <v>385.51130379767494</v>
      </c>
      <c r="P17" s="14">
        <v>371</v>
      </c>
      <c r="Q17" s="14">
        <v>381.61487353867852</v>
      </c>
      <c r="R17" s="14">
        <v>419.54430553064765</v>
      </c>
      <c r="S17" s="14">
        <v>439.80188760830151</v>
      </c>
      <c r="T17" s="10"/>
      <c r="U17" s="14">
        <f>R17-(R17*0.01)</f>
        <v>415.34886247534115</v>
      </c>
      <c r="V17" s="14">
        <f>S17-(S17*0.01)</f>
        <v>435.40386873221848</v>
      </c>
      <c r="W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x14ac:dyDescent="0.25">
      <c r="A18" s="10"/>
      <c r="B18" s="13" t="s">
        <v>5</v>
      </c>
      <c r="C18" s="14"/>
      <c r="D18" s="14"/>
      <c r="E18" s="14"/>
      <c r="F18" s="14"/>
      <c r="G18" s="14"/>
      <c r="H18" s="14"/>
      <c r="I18" s="14"/>
      <c r="J18" s="14"/>
      <c r="K18" s="14"/>
      <c r="L18" s="14">
        <v>519.61003869973138</v>
      </c>
      <c r="M18" s="14">
        <v>527.31984697744383</v>
      </c>
      <c r="N18" s="5">
        <v>569.19391085165728</v>
      </c>
      <c r="O18" s="14">
        <v>580.13749377006707</v>
      </c>
      <c r="P18" s="14">
        <v>546.17867798884538</v>
      </c>
      <c r="Q18" s="14">
        <v>559.28294430666892</v>
      </c>
      <c r="R18" s="14">
        <v>608.1574901853952</v>
      </c>
      <c r="S18" s="14">
        <v>604.81352336799921</v>
      </c>
      <c r="T18" s="10"/>
      <c r="U18" s="10"/>
      <c r="V18" s="10"/>
      <c r="W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x14ac:dyDescent="0.25">
      <c r="A19" s="10"/>
      <c r="B19" s="13" t="s">
        <v>1</v>
      </c>
      <c r="C19" s="14"/>
      <c r="D19" s="14"/>
      <c r="E19" s="14"/>
      <c r="F19" s="14"/>
      <c r="G19" s="14"/>
      <c r="H19" s="14"/>
      <c r="I19" s="14"/>
      <c r="J19" s="14"/>
      <c r="K19" s="14"/>
      <c r="L19" s="14">
        <v>404.23507996054212</v>
      </c>
      <c r="M19" s="5">
        <v>410.5083258236869</v>
      </c>
      <c r="N19" s="14">
        <v>433.6616191423584</v>
      </c>
      <c r="O19" s="14">
        <v>435.30386372587691</v>
      </c>
      <c r="P19" s="14">
        <v>413.39851148941818</v>
      </c>
      <c r="Q19" s="14">
        <f>((120508/28995881)*100000)</f>
        <v>415.60385766516282</v>
      </c>
      <c r="R19" s="14">
        <v>442.88364616187198</v>
      </c>
      <c r="S19" s="14">
        <v>449.1544049806011</v>
      </c>
      <c r="T19" s="10"/>
      <c r="U19" s="12" t="s">
        <v>40</v>
      </c>
      <c r="V19" s="10"/>
      <c r="W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</row>
    <row r="20" spans="1:73" x14ac:dyDescent="0.25">
      <c r="A20" s="10"/>
      <c r="B20" s="13" t="s">
        <v>2</v>
      </c>
      <c r="C20" s="14"/>
      <c r="D20" s="14"/>
      <c r="E20" s="14"/>
      <c r="F20" s="14"/>
      <c r="G20" s="14"/>
      <c r="H20" s="14"/>
      <c r="I20" s="14"/>
      <c r="J20" s="14"/>
      <c r="K20" s="14"/>
      <c r="L20" s="14">
        <v>361.55385431145891</v>
      </c>
      <c r="M20" s="5">
        <v>373.73718909059988</v>
      </c>
      <c r="N20" s="14">
        <v>386.56124229754778</v>
      </c>
      <c r="O20" s="14">
        <v>383.61742098894365</v>
      </c>
      <c r="P20" s="14">
        <v>370.38362235964456</v>
      </c>
      <c r="Q20" s="14">
        <v>366.74681616570592</v>
      </c>
      <c r="R20" s="14"/>
      <c r="S20" s="14"/>
      <c r="T20" s="10"/>
      <c r="U20" s="18">
        <f>(S17-O17)/O17</f>
        <v>0.14082747581149915</v>
      </c>
      <c r="V20" s="10"/>
      <c r="W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</row>
    <row r="21" spans="1:73" x14ac:dyDescent="0.25">
      <c r="A21" s="10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0"/>
      <c r="U21" s="12" t="s">
        <v>54</v>
      </c>
      <c r="V21" s="10"/>
      <c r="W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</row>
    <row r="22" spans="1:73" x14ac:dyDescent="0.25">
      <c r="A22" s="10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5"/>
      <c r="N22" s="14"/>
      <c r="O22" s="14"/>
      <c r="P22" s="14"/>
      <c r="Q22" s="14"/>
      <c r="R22" s="14"/>
      <c r="S22" s="14"/>
      <c r="T22" s="10"/>
      <c r="U22" s="18">
        <f>(S17-R17)/R17</f>
        <v>4.8284726572636202E-2</v>
      </c>
      <c r="V22" s="10"/>
      <c r="W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</row>
    <row r="23" spans="1:73" x14ac:dyDescent="0.25">
      <c r="A23" s="10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0"/>
      <c r="S23" s="10"/>
      <c r="T23" s="10"/>
      <c r="U23" s="10"/>
      <c r="V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</row>
    <row r="24" spans="1:73" x14ac:dyDescent="0.25">
      <c r="A24" s="10" t="s">
        <v>30</v>
      </c>
      <c r="B24" s="13"/>
      <c r="C24" s="12">
        <v>2005</v>
      </c>
      <c r="D24" s="12">
        <v>2006</v>
      </c>
      <c r="E24" s="12">
        <v>2007</v>
      </c>
      <c r="F24" s="12">
        <v>2008</v>
      </c>
      <c r="G24" s="12">
        <v>2009</v>
      </c>
      <c r="H24" s="12">
        <v>2010</v>
      </c>
      <c r="I24" s="12">
        <v>2011</v>
      </c>
      <c r="J24" s="12">
        <v>2012</v>
      </c>
      <c r="K24" s="12">
        <v>2013</v>
      </c>
      <c r="L24" s="12">
        <v>2014</v>
      </c>
      <c r="M24" s="12">
        <v>2015</v>
      </c>
      <c r="N24" s="12">
        <v>2016</v>
      </c>
      <c r="O24" s="12">
        <v>2017</v>
      </c>
      <c r="P24" s="12">
        <v>2018</v>
      </c>
      <c r="Q24" s="12">
        <v>2019</v>
      </c>
      <c r="R24" s="12">
        <v>2020</v>
      </c>
      <c r="S24" s="12">
        <v>2021</v>
      </c>
      <c r="T24" s="10"/>
      <c r="U24" s="12" t="s">
        <v>52</v>
      </c>
      <c r="V24" s="12" t="s">
        <v>53</v>
      </c>
      <c r="W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</row>
    <row r="25" spans="1:73" x14ac:dyDescent="0.25">
      <c r="A25" s="10"/>
      <c r="B25" s="13" t="s"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>
        <v>3630.8935765707697</v>
      </c>
      <c r="M25" s="14">
        <v>3329.0933565551945</v>
      </c>
      <c r="N25" s="14">
        <v>3138.7369278740448</v>
      </c>
      <c r="O25" s="14">
        <v>2884.6505099086507</v>
      </c>
      <c r="P25" s="14">
        <v>3022.9322164514601</v>
      </c>
      <c r="Q25" s="14">
        <v>3244.8685286508098</v>
      </c>
      <c r="R25" s="14">
        <v>3142.266298269361</v>
      </c>
      <c r="S25" s="14">
        <v>2915.4739028405002</v>
      </c>
      <c r="T25" s="10"/>
      <c r="U25" s="14">
        <f>R25-(R25*0.01)</f>
        <v>3110.8436352866674</v>
      </c>
      <c r="V25" s="14">
        <f>S25-(S25*0.01)</f>
        <v>2886.3191638120952</v>
      </c>
      <c r="W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</row>
    <row r="26" spans="1:73" x14ac:dyDescent="0.25">
      <c r="A26" s="10"/>
      <c r="B26" s="13" t="s">
        <v>5</v>
      </c>
      <c r="C26" s="14"/>
      <c r="D26" s="14"/>
      <c r="E26" s="14"/>
      <c r="F26" s="14"/>
      <c r="G26" s="14"/>
      <c r="H26" s="14"/>
      <c r="I26" s="14"/>
      <c r="J26" s="14"/>
      <c r="K26" s="14"/>
      <c r="L26" s="14">
        <v>3607.7837390593731</v>
      </c>
      <c r="M26" s="14">
        <v>3382.5034090392428</v>
      </c>
      <c r="N26" s="14">
        <v>3337.4972690846148</v>
      </c>
      <c r="O26" s="14">
        <v>3144.7320037985874</v>
      </c>
      <c r="P26" s="14">
        <v>2943.4298480879374</v>
      </c>
      <c r="Q26" s="14">
        <v>3042.29</v>
      </c>
      <c r="R26" s="14">
        <v>2888.4542119396119</v>
      </c>
      <c r="S26" s="14">
        <v>2884.8919192913427</v>
      </c>
      <c r="T26" s="10"/>
      <c r="U26" s="10"/>
      <c r="V26" s="10"/>
      <c r="W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</row>
    <row r="27" spans="1:73" x14ac:dyDescent="0.25">
      <c r="A27" s="10"/>
      <c r="B27" s="13" t="s">
        <v>1</v>
      </c>
      <c r="C27" s="14"/>
      <c r="D27" s="14"/>
      <c r="E27" s="14"/>
      <c r="F27" s="14"/>
      <c r="G27" s="14"/>
      <c r="H27" s="14"/>
      <c r="I27" s="14"/>
      <c r="J27" s="14"/>
      <c r="K27" s="14"/>
      <c r="L27" s="14">
        <v>2987.9221920260725</v>
      </c>
      <c r="M27" s="5">
        <v>2822.7776112473084</v>
      </c>
      <c r="N27" s="14">
        <v>2751.5831891173261</v>
      </c>
      <c r="O27" s="14">
        <v>2539.6723556838615</v>
      </c>
      <c r="P27" s="14">
        <v>2363.1616713141611</v>
      </c>
      <c r="Q27" s="14">
        <f>((685371/28995881)*100000)</f>
        <v>2363.6840004964843</v>
      </c>
      <c r="R27" s="14">
        <v>2223.8525918216214</v>
      </c>
      <c r="S27" s="14">
        <v>2166.8067735544291</v>
      </c>
      <c r="T27" s="10"/>
      <c r="U27" s="12" t="s">
        <v>40</v>
      </c>
      <c r="V27" s="10"/>
      <c r="W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</row>
    <row r="28" spans="1:73" x14ac:dyDescent="0.25">
      <c r="A28" s="10"/>
      <c r="B28" s="13" t="s">
        <v>2</v>
      </c>
      <c r="C28" s="14"/>
      <c r="D28" s="14"/>
      <c r="E28" s="14"/>
      <c r="F28" s="14"/>
      <c r="G28" s="14"/>
      <c r="H28" s="14"/>
      <c r="I28" s="14"/>
      <c r="J28" s="14"/>
      <c r="K28" s="14"/>
      <c r="L28" s="14">
        <v>2574.1045752650939</v>
      </c>
      <c r="M28" s="5">
        <v>2500.5296254010382</v>
      </c>
      <c r="N28" s="14">
        <v>2451.5722013574054</v>
      </c>
      <c r="O28" s="14">
        <v>2362.9266580527405</v>
      </c>
      <c r="P28" s="14">
        <v>2209.7827366832744</v>
      </c>
      <c r="Q28" s="14">
        <v>2109.9460956747735</v>
      </c>
      <c r="R28" s="14"/>
      <c r="S28" s="14"/>
      <c r="T28" s="10"/>
      <c r="U28" s="18">
        <f>(S25-O25)/O25</f>
        <v>1.0685312770462967E-2</v>
      </c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</row>
    <row r="29" spans="1:73" x14ac:dyDescent="0.25">
      <c r="A29" s="10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0"/>
      <c r="U29" s="12" t="s">
        <v>54</v>
      </c>
      <c r="V29" s="10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:73" x14ac:dyDescent="0.25">
      <c r="A30" s="12" t="s">
        <v>3</v>
      </c>
      <c r="B30" s="28" t="s">
        <v>45</v>
      </c>
      <c r="C30" s="14" t="s">
        <v>49</v>
      </c>
      <c r="D30" t="s">
        <v>48</v>
      </c>
      <c r="E30" s="14"/>
      <c r="F30" s="14"/>
      <c r="G30" s="14"/>
      <c r="H30" s="14"/>
      <c r="I30" s="14"/>
      <c r="J30" s="14"/>
      <c r="L30" s="14"/>
      <c r="M30" s="14"/>
      <c r="N30" s="14"/>
      <c r="O30" s="14"/>
      <c r="P30" s="14"/>
      <c r="Q30" s="14"/>
      <c r="R30" s="14"/>
      <c r="S30" s="14"/>
      <c r="T30" s="11"/>
      <c r="U30" s="18">
        <f>(S25-R25)/R25</f>
        <v>-7.2174785298677366E-2</v>
      </c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:73" x14ac:dyDescent="0.25">
      <c r="A31" s="10"/>
      <c r="B31" s="10" t="s">
        <v>43</v>
      </c>
      <c r="D31" t="s">
        <v>48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</row>
    <row r="32" spans="1:73" x14ac:dyDescent="0.25">
      <c r="A32" s="10"/>
      <c r="B32" s="10" t="s">
        <v>23</v>
      </c>
      <c r="C32" s="10" t="s">
        <v>24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x14ac:dyDescent="0.25">
      <c r="A33" s="11"/>
      <c r="B33" s="10" t="s">
        <v>50</v>
      </c>
      <c r="C33" s="11" t="s">
        <v>39</v>
      </c>
      <c r="D33" t="s">
        <v>51</v>
      </c>
      <c r="E33" s="11" t="s">
        <v>24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</row>
    <row r="34" spans="1:72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</row>
    <row r="35" spans="1:72" x14ac:dyDescent="0.25">
      <c r="A35" s="11"/>
      <c r="B35" s="10" t="s">
        <v>19</v>
      </c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</row>
    <row r="36" spans="1:72" x14ac:dyDescent="0.25">
      <c r="A36" s="11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</row>
    <row r="37" spans="1:72" x14ac:dyDescent="0.25">
      <c r="A37" s="11"/>
      <c r="B37" s="10"/>
      <c r="C37" s="10" t="s">
        <v>15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</row>
    <row r="38" spans="1:72" x14ac:dyDescent="0.25">
      <c r="A38" s="11"/>
      <c r="B38" s="10"/>
      <c r="C38" s="10" t="s">
        <v>20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</row>
    <row r="39" spans="1:72" x14ac:dyDescent="0.25">
      <c r="A39" s="11"/>
      <c r="B39" s="10"/>
      <c r="C39" s="10" t="s">
        <v>16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</row>
    <row r="40" spans="1:72" x14ac:dyDescent="0.25">
      <c r="A40" s="11"/>
      <c r="B40" s="10"/>
      <c r="C40" s="10" t="s">
        <v>17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</row>
    <row r="41" spans="1:72" x14ac:dyDescent="0.25">
      <c r="A41" s="11"/>
      <c r="B41" s="10"/>
      <c r="C41" s="10" t="s">
        <v>18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</row>
    <row r="42" spans="1:72" x14ac:dyDescent="0.25">
      <c r="A42" s="11"/>
      <c r="B42" s="10"/>
      <c r="C42" s="10" t="s">
        <v>21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</row>
    <row r="43" spans="1:72" x14ac:dyDescent="0.25">
      <c r="A43" s="11"/>
      <c r="B43" s="10"/>
      <c r="C43" s="10"/>
      <c r="D43" s="11"/>
      <c r="E43" s="11"/>
      <c r="F43" s="11"/>
      <c r="G43" s="11"/>
      <c r="H43" s="11"/>
      <c r="I43" s="11"/>
      <c r="J43" s="13"/>
      <c r="K43" s="13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2" x14ac:dyDescent="0.25">
      <c r="A44" s="11"/>
      <c r="B44" s="11"/>
      <c r="C44" s="11"/>
      <c r="D44" s="11" t="s">
        <v>46</v>
      </c>
      <c r="E44" s="11"/>
      <c r="F44" s="11"/>
      <c r="G44" s="11"/>
      <c r="H44" s="11"/>
      <c r="I44" s="11"/>
      <c r="J44" s="13"/>
      <c r="K44" s="13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</row>
    <row r="45" spans="1:72" x14ac:dyDescent="0.25">
      <c r="A45" s="11"/>
      <c r="B45" s="11"/>
      <c r="C45" s="11"/>
      <c r="D45" s="13" t="s">
        <v>29</v>
      </c>
      <c r="E45" s="11"/>
      <c r="F45" s="11"/>
      <c r="G45" s="11"/>
      <c r="H45" s="11"/>
      <c r="I45" s="11"/>
      <c r="J45" s="13"/>
      <c r="L45" s="12">
        <v>2014</v>
      </c>
      <c r="M45" s="12">
        <v>2015</v>
      </c>
      <c r="N45" s="12">
        <v>2016</v>
      </c>
      <c r="O45" s="12">
        <v>2017</v>
      </c>
      <c r="P45" s="12">
        <v>2018</v>
      </c>
      <c r="Q45" s="12">
        <v>2019</v>
      </c>
      <c r="R45" s="12">
        <v>2020</v>
      </c>
      <c r="S45" s="12">
        <v>2021</v>
      </c>
      <c r="T45" s="12">
        <v>2022</v>
      </c>
      <c r="U45" s="12">
        <v>2023</v>
      </c>
      <c r="V45" s="12">
        <v>2024</v>
      </c>
      <c r="W45" s="12">
        <v>2025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</row>
    <row r="46" spans="1:72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3" t="s">
        <v>0</v>
      </c>
      <c r="L46" s="14">
        <v>357</v>
      </c>
      <c r="M46" s="14">
        <v>347.52235251848981</v>
      </c>
      <c r="N46" s="5">
        <v>387.42793190526083</v>
      </c>
      <c r="O46" s="14">
        <v>385.51130379767494</v>
      </c>
      <c r="P46" s="14">
        <v>371</v>
      </c>
      <c r="Q46" s="14">
        <v>381.61487353867852</v>
      </c>
      <c r="R46" s="29">
        <v>419.54430553064765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2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2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3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</row>
    <row r="49" spans="1:7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3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</row>
    <row r="50" spans="1:71" x14ac:dyDescent="0.25">
      <c r="A50" s="11"/>
      <c r="B50" s="11"/>
      <c r="C50" s="11"/>
      <c r="D50" s="11" t="s">
        <v>46</v>
      </c>
      <c r="E50" s="11"/>
      <c r="F50" s="11"/>
      <c r="G50" s="11"/>
      <c r="H50" s="11"/>
      <c r="I50" s="11"/>
      <c r="J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</row>
    <row r="51" spans="1:71" x14ac:dyDescent="0.25">
      <c r="A51" s="11"/>
      <c r="B51" s="11"/>
      <c r="C51" s="11"/>
      <c r="D51" s="13" t="s">
        <v>30</v>
      </c>
      <c r="E51" s="11"/>
      <c r="F51" s="11"/>
      <c r="G51" s="11"/>
      <c r="H51" s="11"/>
      <c r="I51" s="11"/>
      <c r="J51" s="11"/>
      <c r="L51" s="12">
        <v>2014</v>
      </c>
      <c r="M51" s="12">
        <v>2015</v>
      </c>
      <c r="N51" s="12">
        <v>2016</v>
      </c>
      <c r="O51" s="12">
        <v>2017</v>
      </c>
      <c r="P51" s="12">
        <v>2018</v>
      </c>
      <c r="Q51" s="12">
        <v>2019</v>
      </c>
      <c r="R51" s="12">
        <v>2020</v>
      </c>
      <c r="S51" s="12">
        <v>2021</v>
      </c>
      <c r="T51" s="12">
        <v>2022</v>
      </c>
      <c r="U51" s="12">
        <v>2023</v>
      </c>
      <c r="V51" s="12">
        <v>2024</v>
      </c>
      <c r="W51" s="12">
        <v>2025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</row>
    <row r="52" spans="1:7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3" t="s">
        <v>0</v>
      </c>
      <c r="L52" s="14">
        <v>3630.8935765707697</v>
      </c>
      <c r="M52" s="14">
        <v>3329.0933565551945</v>
      </c>
      <c r="N52" s="14">
        <v>3138.7369278740448</v>
      </c>
      <c r="O52" s="14">
        <v>2884.6505099086507</v>
      </c>
      <c r="P52" s="14">
        <v>3022.9322164514601</v>
      </c>
      <c r="Q52" s="14">
        <v>3244.8685286508098</v>
      </c>
      <c r="R52" s="29">
        <v>3142.266298269361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</row>
    <row r="53" spans="1:7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</row>
    <row r="54" spans="1:7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7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</sheetData>
  <mergeCells count="1">
    <mergeCell ref="A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82"/>
  <sheetViews>
    <sheetView zoomScale="96" zoomScaleNormal="96" workbookViewId="0">
      <selection activeCell="S3" sqref="S3"/>
    </sheetView>
  </sheetViews>
  <sheetFormatPr defaultRowHeight="15" x14ac:dyDescent="0.25"/>
  <cols>
    <col min="1" max="1" width="15.140625" customWidth="1"/>
    <col min="6" max="6" width="11.28515625" customWidth="1"/>
    <col min="7" max="7" width="8.28515625" customWidth="1"/>
    <col min="10" max="10" width="12.28515625" customWidth="1"/>
    <col min="11" max="11" width="12" bestFit="1" customWidth="1"/>
    <col min="12" max="12" width="11.140625" bestFit="1" customWidth="1"/>
    <col min="13" max="13" width="8.140625" bestFit="1" customWidth="1"/>
    <col min="16" max="16" width="13.28515625" bestFit="1" customWidth="1"/>
    <col min="17" max="17" width="9" bestFit="1" customWidth="1"/>
    <col min="18" max="18" width="13.28515625" bestFit="1" customWidth="1"/>
    <col min="19" max="19" width="9.42578125" bestFit="1" customWidth="1"/>
    <col min="20" max="20" width="13.140625" bestFit="1" customWidth="1"/>
    <col min="21" max="21" width="19.42578125" customWidth="1"/>
  </cols>
  <sheetData>
    <row r="2" spans="2:23" x14ac:dyDescent="0.25">
      <c r="B2">
        <v>2021</v>
      </c>
      <c r="C2" t="s">
        <v>29</v>
      </c>
      <c r="D2" t="s">
        <v>30</v>
      </c>
      <c r="E2" s="2" t="s">
        <v>31</v>
      </c>
      <c r="F2" t="s">
        <v>11</v>
      </c>
      <c r="G2" t="s">
        <v>35</v>
      </c>
      <c r="H2" t="s">
        <v>36</v>
      </c>
      <c r="I2" t="s">
        <v>37</v>
      </c>
      <c r="J2" t="s">
        <v>32</v>
      </c>
      <c r="L2" t="s">
        <v>42</v>
      </c>
      <c r="M2" t="s">
        <v>47</v>
      </c>
      <c r="P2" t="s">
        <v>29</v>
      </c>
      <c r="Q2" t="s">
        <v>35</v>
      </c>
      <c r="R2" t="s">
        <v>30</v>
      </c>
      <c r="S2" t="s">
        <v>36</v>
      </c>
      <c r="T2" s="2" t="s">
        <v>31</v>
      </c>
      <c r="U2" t="s">
        <v>11</v>
      </c>
      <c r="V2" t="s">
        <v>13</v>
      </c>
    </row>
    <row r="3" spans="2:23" x14ac:dyDescent="0.25">
      <c r="B3" t="s">
        <v>6</v>
      </c>
      <c r="C3">
        <f>SUM( 186, 1244, 1842, 8967 )</f>
        <v>12239</v>
      </c>
      <c r="D3">
        <f>SUM( 9041,50967,10061 )</f>
        <v>70069</v>
      </c>
      <c r="E3">
        <f>SUM(C3:D3)</f>
        <v>82308</v>
      </c>
      <c r="F3" s="30">
        <v>2043748</v>
      </c>
      <c r="G3" s="5">
        <f t="shared" ref="G3" si="0">(C3/F3)*100000</f>
        <v>598.85073893650292</v>
      </c>
      <c r="H3" s="5">
        <f>(D3/F3)*100000</f>
        <v>3428.4559544523099</v>
      </c>
      <c r="I3" s="22">
        <f t="shared" ref="I3" si="1">E3/F3</f>
        <v>4.027306693388813E-2</v>
      </c>
      <c r="J3" s="5">
        <f t="shared" ref="J3" si="2">I3*100000</f>
        <v>4027.3066933888131</v>
      </c>
      <c r="L3" s="27">
        <f t="shared" ref="L3:L9" si="3">(((J3-J43)/J43))</f>
        <v>-0.18144480514682873</v>
      </c>
      <c r="M3" s="27">
        <f>(((J3-J13)/J13))</f>
        <v>7.030376584681218E-2</v>
      </c>
      <c r="O3" t="s">
        <v>1</v>
      </c>
      <c r="P3" s="30">
        <v>129931</v>
      </c>
      <c r="Q3" s="5">
        <f>(P3/U3)*100000</f>
        <v>449.1544049806011</v>
      </c>
      <c r="R3" s="30">
        <v>626812</v>
      </c>
      <c r="S3" s="30">
        <f>(R3/U3)*100000</f>
        <v>2166.8067735544291</v>
      </c>
      <c r="T3">
        <f>SUM(P3,R3)</f>
        <v>756743</v>
      </c>
      <c r="U3" s="30">
        <v>28927914</v>
      </c>
      <c r="V3">
        <f>(T3/U3)*100000</f>
        <v>2615.9611785350303</v>
      </c>
      <c r="W3" t="s">
        <v>41</v>
      </c>
    </row>
    <row r="4" spans="2:23" x14ac:dyDescent="0.25">
      <c r="B4" t="s">
        <v>7</v>
      </c>
      <c r="C4">
        <f>SUM(301,1159,3399,10624)</f>
        <v>15483</v>
      </c>
      <c r="D4">
        <f>SUM( 11097,52904,17358)</f>
        <v>81359</v>
      </c>
      <c r="E4">
        <f>SUM(C4:D4)</f>
        <v>96842</v>
      </c>
      <c r="F4" s="30">
        <v>2929932</v>
      </c>
      <c r="G4" s="5">
        <f t="shared" ref="G4:G9" si="4">(C4/F4)*100000</f>
        <v>528.44229831955147</v>
      </c>
      <c r="H4" s="5">
        <f>(D4/F4)*100000</f>
        <v>2776.8221241994693</v>
      </c>
      <c r="I4" s="22">
        <f t="shared" ref="I4:I9" si="5">E4/F4</f>
        <v>3.3052644225190206E-2</v>
      </c>
      <c r="J4" s="5">
        <f t="shared" ref="J4:J9" si="6">I4*100000</f>
        <v>3305.2644225190206</v>
      </c>
      <c r="L4" s="27">
        <f t="shared" si="3"/>
        <v>-2.8408592134870771E-2</v>
      </c>
      <c r="M4" s="27">
        <f t="shared" ref="M4:M9" si="7">(((J4-J14)/J14))</f>
        <v>-1.6568551450343909E-2</v>
      </c>
      <c r="O4" t="s">
        <v>14</v>
      </c>
      <c r="P4" s="30"/>
      <c r="Q4" s="5" t="e">
        <f>(P4/U4)*100000</f>
        <v>#DIV/0!</v>
      </c>
      <c r="R4" s="30"/>
      <c r="S4" s="5" t="e">
        <f>(R4/U4)*100000</f>
        <v>#DIV/0!</v>
      </c>
      <c r="T4">
        <f>SUM(P4,R4)</f>
        <v>0</v>
      </c>
      <c r="U4" s="7"/>
      <c r="V4" t="e">
        <f>(T4/U4)*100000</f>
        <v>#DIV/0!</v>
      </c>
      <c r="W4" t="s">
        <v>44</v>
      </c>
    </row>
    <row r="5" spans="2:23" x14ac:dyDescent="0.25">
      <c r="B5" t="s">
        <v>8</v>
      </c>
      <c r="C5">
        <f>SUM(36,426,254,1382)</f>
        <v>2098</v>
      </c>
      <c r="D5">
        <f>SUM(1361,7354,1093)</f>
        <v>9808</v>
      </c>
      <c r="E5">
        <f t="shared" ref="E5:E9" si="8">SUM(C5:D5)</f>
        <v>11906</v>
      </c>
      <c r="F5" s="30">
        <v>836739</v>
      </c>
      <c r="G5" s="5">
        <f t="shared" si="4"/>
        <v>250.73529499640867</v>
      </c>
      <c r="H5" s="5">
        <f t="shared" ref="H5:H8" si="9">(D5/F5)*100000</f>
        <v>1172.1695773711995</v>
      </c>
      <c r="I5" s="22">
        <f t="shared" si="5"/>
        <v>1.422904872367608E-2</v>
      </c>
      <c r="J5" s="5">
        <f t="shared" si="6"/>
        <v>1422.904872367608</v>
      </c>
      <c r="L5" s="27">
        <f t="shared" si="3"/>
        <v>-0.30571714532965638</v>
      </c>
      <c r="M5" s="27">
        <f t="shared" si="7"/>
        <v>-2.5530462237306605E-2</v>
      </c>
    </row>
    <row r="6" spans="2:23" x14ac:dyDescent="0.25">
      <c r="B6" t="s">
        <v>9</v>
      </c>
      <c r="C6">
        <f>SUM(629,2648,9838,26833)</f>
        <v>39948</v>
      </c>
      <c r="D6">
        <f>SUM( 23068, 107646,24153 )</f>
        <v>154867</v>
      </c>
      <c r="E6">
        <f t="shared" si="8"/>
        <v>194815</v>
      </c>
      <c r="F6" s="30">
        <v>4788935</v>
      </c>
      <c r="G6" s="5">
        <f t="shared" si="4"/>
        <v>834.17294241830382</v>
      </c>
      <c r="H6" s="5">
        <f t="shared" si="9"/>
        <v>3233.8505325296751</v>
      </c>
      <c r="I6" s="22">
        <f t="shared" si="5"/>
        <v>4.0680234749479793E-2</v>
      </c>
      <c r="J6" s="5">
        <f t="shared" si="6"/>
        <v>4068.0234749479791</v>
      </c>
      <c r="L6" s="27">
        <f t="shared" si="3"/>
        <v>-6.5560490684636542E-4</v>
      </c>
      <c r="M6" s="27">
        <f t="shared" si="7"/>
        <v>-6.4792306553429439E-3</v>
      </c>
    </row>
    <row r="7" spans="2:23" x14ac:dyDescent="0.25">
      <c r="B7" t="s">
        <v>10</v>
      </c>
      <c r="C7">
        <f>SUM( 166,1260,1227,6497 )</f>
        <v>9150</v>
      </c>
      <c r="D7">
        <f>SUM(6479,35903,6788)</f>
        <v>49170</v>
      </c>
      <c r="E7">
        <f t="shared" si="8"/>
        <v>58320</v>
      </c>
      <c r="F7" s="30">
        <v>2076694</v>
      </c>
      <c r="G7" s="5">
        <f t="shared" si="4"/>
        <v>440.60415256171586</v>
      </c>
      <c r="H7" s="5">
        <f>(D7/F3)*100000</f>
        <v>2405.8739140050538</v>
      </c>
      <c r="I7" s="22">
        <f>E7/F3</f>
        <v>2.8535807741463234E-2</v>
      </c>
      <c r="J7" s="5">
        <f t="shared" si="6"/>
        <v>2853.5807741463236</v>
      </c>
      <c r="L7" s="27">
        <f t="shared" si="3"/>
        <v>-0.10866070119035524</v>
      </c>
      <c r="M7" s="27">
        <f t="shared" si="7"/>
        <v>-8.9913552594951436E-3</v>
      </c>
    </row>
    <row r="8" spans="2:23" x14ac:dyDescent="0.25">
      <c r="B8" t="s">
        <v>0</v>
      </c>
      <c r="C8">
        <f>SUM(91,726,1073,4111)</f>
        <v>6001</v>
      </c>
      <c r="D8">
        <f>SUM( 5649,28896,5236 )</f>
        <v>39781</v>
      </c>
      <c r="E8">
        <f t="shared" si="8"/>
        <v>45782</v>
      </c>
      <c r="F8" s="30">
        <v>1364478</v>
      </c>
      <c r="G8" s="5">
        <f t="shared" si="4"/>
        <v>439.80188760830151</v>
      </c>
      <c r="H8" s="5">
        <f t="shared" si="9"/>
        <v>2915.4739028405002</v>
      </c>
      <c r="I8" s="22">
        <f t="shared" si="5"/>
        <v>3.3552757904488015E-2</v>
      </c>
      <c r="J8" s="5">
        <f t="shared" si="6"/>
        <v>3355.2757904488017</v>
      </c>
      <c r="L8" s="27">
        <f t="shared" si="3"/>
        <v>2.6027451114417309E-2</v>
      </c>
      <c r="M8" s="27">
        <f t="shared" si="7"/>
        <v>-5.7985905575905723E-2</v>
      </c>
    </row>
    <row r="9" spans="2:23" x14ac:dyDescent="0.25">
      <c r="B9" t="s">
        <v>5</v>
      </c>
      <c r="C9">
        <f>SUM(C3:C8)</f>
        <v>84919</v>
      </c>
      <c r="D9">
        <f>SUM(D3:D8)</f>
        <v>405054</v>
      </c>
      <c r="E9">
        <f t="shared" si="8"/>
        <v>489973</v>
      </c>
      <c r="F9" s="30">
        <f>SUM(F3:F8)</f>
        <v>14040526</v>
      </c>
      <c r="G9" s="5">
        <f t="shared" si="4"/>
        <v>604.81352336799921</v>
      </c>
      <c r="H9" s="5">
        <f>(D9/F9)*100000</f>
        <v>2884.8919192913427</v>
      </c>
      <c r="I9" s="22">
        <f t="shared" si="5"/>
        <v>3.4897054426593417E-2</v>
      </c>
      <c r="J9" s="5">
        <f t="shared" si="6"/>
        <v>3489.7054426593418</v>
      </c>
      <c r="L9" s="27">
        <f t="shared" si="3"/>
        <v>-6.3133501740883002E-2</v>
      </c>
      <c r="M9" s="27">
        <f t="shared" si="7"/>
        <v>-1.9751290832402354E-3</v>
      </c>
    </row>
    <row r="12" spans="2:23" x14ac:dyDescent="0.25">
      <c r="B12">
        <v>2020</v>
      </c>
      <c r="C12" t="s">
        <v>29</v>
      </c>
      <c r="D12" t="s">
        <v>30</v>
      </c>
      <c r="E12" s="2" t="s">
        <v>31</v>
      </c>
      <c r="F12" t="s">
        <v>11</v>
      </c>
      <c r="G12" t="s">
        <v>35</v>
      </c>
      <c r="H12" t="s">
        <v>36</v>
      </c>
      <c r="I12" t="s">
        <v>37</v>
      </c>
      <c r="J12" t="s">
        <v>32</v>
      </c>
      <c r="L12" t="s">
        <v>42</v>
      </c>
      <c r="M12" t="s">
        <v>47</v>
      </c>
      <c r="P12" t="s">
        <v>29</v>
      </c>
      <c r="Q12" t="s">
        <v>35</v>
      </c>
      <c r="R12" t="s">
        <v>30</v>
      </c>
      <c r="S12" t="s">
        <v>36</v>
      </c>
      <c r="T12" s="2" t="s">
        <v>31</v>
      </c>
      <c r="U12" t="s">
        <v>11</v>
      </c>
      <c r="V12" t="s">
        <v>13</v>
      </c>
    </row>
    <row r="13" spans="2:23" x14ac:dyDescent="0.25">
      <c r="B13" t="s">
        <v>6</v>
      </c>
      <c r="C13">
        <f>SUM( 150,1355, 2240,8699 )</f>
        <v>12444</v>
      </c>
      <c r="D13">
        <f>SUM( 9341,47035,7722 )</f>
        <v>64098</v>
      </c>
      <c r="E13">
        <f>SUM(C13:D13)</f>
        <v>76542</v>
      </c>
      <c r="F13" s="30">
        <v>2034193</v>
      </c>
      <c r="G13" s="5">
        <f t="shared" ref="G13:G17" si="10">(C13/F13)*100000</f>
        <v>611.74136377423383</v>
      </c>
      <c r="H13" s="5">
        <f>(D13/F13)*100000</f>
        <v>3151.0284422372902</v>
      </c>
      <c r="I13" s="22">
        <f t="shared" ref="I13:I16" si="11">E13/F13</f>
        <v>3.762769806011524E-2</v>
      </c>
      <c r="J13" s="5">
        <f t="shared" ref="J13:J19" si="12">I13*100000</f>
        <v>3762.769806011524</v>
      </c>
      <c r="L13" s="27">
        <f>(((J13-J54)/J54))</f>
        <v>-0.2866945223448627</v>
      </c>
      <c r="M13" s="27">
        <f>(((J13-J23)/J23))</f>
        <v>-0.15190913331357483</v>
      </c>
      <c r="O13" t="s">
        <v>1</v>
      </c>
      <c r="P13" s="30">
        <v>130034</v>
      </c>
      <c r="Q13" s="30">
        <f>(P13/U13)*100000</f>
        <v>442.88364616187198</v>
      </c>
      <c r="R13" s="30">
        <v>652940</v>
      </c>
      <c r="S13" s="30">
        <f>(R13/U13)*100000</f>
        <v>2223.8525918216214</v>
      </c>
      <c r="T13" s="30">
        <f>SUM(P13,R13)</f>
        <v>782974</v>
      </c>
      <c r="U13" s="30">
        <v>29360759</v>
      </c>
      <c r="V13">
        <f>(T13/U13)*100000</f>
        <v>2666.7362379834935</v>
      </c>
      <c r="W13" t="s">
        <v>41</v>
      </c>
    </row>
    <row r="14" spans="2:23" x14ac:dyDescent="0.25">
      <c r="B14" t="s">
        <v>7</v>
      </c>
      <c r="C14">
        <f>SUM(292,1093,4446,9846 )</f>
        <v>15677</v>
      </c>
      <c r="D14">
        <f>SUM( 14814,52366,16201 )</f>
        <v>83381</v>
      </c>
      <c r="E14">
        <f>SUM(C14:D14)</f>
        <v>99058</v>
      </c>
      <c r="F14" s="30">
        <v>2947321</v>
      </c>
      <c r="G14" s="5">
        <f t="shared" si="10"/>
        <v>531.90677228574691</v>
      </c>
      <c r="H14" s="5">
        <f>(D14/F14)*100000</f>
        <v>2829.0437315786098</v>
      </c>
      <c r="I14" s="22">
        <f t="shared" si="11"/>
        <v>3.3609505038643565E-2</v>
      </c>
      <c r="J14" s="5">
        <f t="shared" si="12"/>
        <v>3360.9505038643565</v>
      </c>
      <c r="L14" s="27">
        <f t="shared" ref="L14:L19" si="13">(((J14-J55)/J55))</f>
        <v>-5.8129387479189429E-2</v>
      </c>
      <c r="M14" s="27">
        <f t="shared" ref="M14:M19" si="14">(((J14-J24)/J24))</f>
        <v>1.0870392020028109E-2</v>
      </c>
      <c r="O14" t="s">
        <v>14</v>
      </c>
      <c r="P14" s="30"/>
      <c r="Q14" s="30" t="e">
        <f>(P14/U14)*100000</f>
        <v>#DIV/0!</v>
      </c>
      <c r="R14" s="30"/>
      <c r="S14" s="30" t="e">
        <f>(R14/U14)*100000</f>
        <v>#DIV/0!</v>
      </c>
      <c r="T14" s="30">
        <f>SUM(P14,R14)</f>
        <v>0</v>
      </c>
      <c r="U14" s="7"/>
      <c r="V14" t="e">
        <f>(T14/U14)*100000</f>
        <v>#DIV/0!</v>
      </c>
      <c r="W14" t="s">
        <v>44</v>
      </c>
    </row>
    <row r="15" spans="2:23" x14ac:dyDescent="0.25">
      <c r="B15" t="s">
        <v>8</v>
      </c>
      <c r="C15">
        <f>SUM(33,317,321,1936 )</f>
        <v>2607</v>
      </c>
      <c r="D15">
        <f>SUM(1033,8106,526 )</f>
        <v>9665</v>
      </c>
      <c r="E15">
        <f t="shared" ref="E15:E19" si="15">SUM(C15:D15)</f>
        <v>12272</v>
      </c>
      <c r="F15" s="30">
        <v>840442</v>
      </c>
      <c r="G15" s="5">
        <f t="shared" si="10"/>
        <v>310.19392176973548</v>
      </c>
      <c r="H15" s="5">
        <f t="shared" ref="H15:H16" si="16">(D15/F15)*100000</f>
        <v>1149.9901242441476</v>
      </c>
      <c r="I15" s="22">
        <f t="shared" si="11"/>
        <v>1.4601840460138831E-2</v>
      </c>
      <c r="J15" s="5">
        <f t="shared" si="12"/>
        <v>1460.1840460138831</v>
      </c>
      <c r="L15" s="27">
        <f t="shared" si="13"/>
        <v>-0.2971795544540583</v>
      </c>
      <c r="M15" s="27">
        <f t="shared" si="14"/>
        <v>-0.16499097562793383</v>
      </c>
    </row>
    <row r="16" spans="2:23" x14ac:dyDescent="0.25">
      <c r="B16" t="s">
        <v>9</v>
      </c>
      <c r="C16">
        <f>SUM(562,2396,11307,26023 )</f>
        <v>40288</v>
      </c>
      <c r="D16">
        <f>SUM( 24095, 108525,23600 )</f>
        <v>156220</v>
      </c>
      <c r="E16">
        <f t="shared" si="15"/>
        <v>196508</v>
      </c>
      <c r="F16" s="30">
        <v>4799254</v>
      </c>
      <c r="G16" s="5">
        <f t="shared" si="10"/>
        <v>839.46379999891644</v>
      </c>
      <c r="H16" s="5">
        <f t="shared" si="16"/>
        <v>3255.0892284509218</v>
      </c>
      <c r="I16" s="22">
        <f t="shared" si="11"/>
        <v>4.0945530284498384E-2</v>
      </c>
      <c r="J16" s="5">
        <f t="shared" si="12"/>
        <v>4094.5530284498386</v>
      </c>
      <c r="L16" s="27">
        <f t="shared" si="13"/>
        <v>-3.7622731556514029E-2</v>
      </c>
      <c r="M16" s="27">
        <f t="shared" si="14"/>
        <v>5.6599111502881189E-3</v>
      </c>
    </row>
    <row r="17" spans="2:23" x14ac:dyDescent="0.25">
      <c r="B17" t="s">
        <v>10</v>
      </c>
      <c r="C17">
        <f>SUM( 160,959,1530,6064 )</f>
        <v>8713</v>
      </c>
      <c r="D17">
        <f>SUM(6223,37185,6453 )</f>
        <v>49861</v>
      </c>
      <c r="E17">
        <f t="shared" si="15"/>
        <v>58574</v>
      </c>
      <c r="F17" s="30">
        <v>2071940</v>
      </c>
      <c r="G17" s="5">
        <f t="shared" si="10"/>
        <v>420.52376034055038</v>
      </c>
      <c r="H17" s="5">
        <f>(D17/F13)*100000</f>
        <v>2451.1440163249013</v>
      </c>
      <c r="I17" s="22">
        <f>E17/F13</f>
        <v>2.8794711219633534E-2</v>
      </c>
      <c r="J17" s="5">
        <f t="shared" si="12"/>
        <v>2879.4711219633532</v>
      </c>
      <c r="L17" s="27">
        <f t="shared" si="13"/>
        <v>-0.1147428853046516</v>
      </c>
      <c r="M17" s="27">
        <f t="shared" si="14"/>
        <v>1.8074066877899624E-2</v>
      </c>
    </row>
    <row r="18" spans="2:23" x14ac:dyDescent="0.25">
      <c r="B18" t="s">
        <v>0</v>
      </c>
      <c r="C18">
        <f>SUM(53,601,1209,3775 )</f>
        <v>5638</v>
      </c>
      <c r="D18">
        <f>SUM( 5983,31529,4715 )</f>
        <v>42227</v>
      </c>
      <c r="E18">
        <f t="shared" si="15"/>
        <v>47865</v>
      </c>
      <c r="F18" s="30">
        <v>1343839</v>
      </c>
      <c r="G18" s="5">
        <f t="shared" ref="G18:G19" si="17">(C18/F18)*100000</f>
        <v>419.54430553064765</v>
      </c>
      <c r="H18" s="5">
        <f t="shared" ref="H18" si="18">(D18/F18)*100000</f>
        <v>3142.266298269361</v>
      </c>
      <c r="I18" s="22">
        <f t="shared" ref="I18:I19" si="19">E18/F18</f>
        <v>3.5618106038000086E-2</v>
      </c>
      <c r="J18" s="5">
        <f t="shared" si="12"/>
        <v>3561.8106038000087</v>
      </c>
      <c r="L18" s="27">
        <f t="shared" si="13"/>
        <v>1.0108927244806623E-2</v>
      </c>
      <c r="M18" s="27">
        <f t="shared" si="14"/>
        <v>-1.7833474255096165E-2</v>
      </c>
    </row>
    <row r="19" spans="2:23" x14ac:dyDescent="0.25">
      <c r="B19" t="s">
        <v>5</v>
      </c>
      <c r="C19">
        <f>SUM(C13:C18)</f>
        <v>85367</v>
      </c>
      <c r="D19">
        <f>SUM(D13:D18)</f>
        <v>405452</v>
      </c>
      <c r="E19">
        <f t="shared" si="15"/>
        <v>490819</v>
      </c>
      <c r="F19" s="30">
        <f>SUM(F13:F18)</f>
        <v>14036989</v>
      </c>
      <c r="G19" s="5">
        <f t="shared" si="17"/>
        <v>608.1574901853952</v>
      </c>
      <c r="H19" s="5">
        <f>(D19/F19)*100000</f>
        <v>2888.4542119396119</v>
      </c>
      <c r="I19" s="22">
        <f t="shared" si="19"/>
        <v>3.4966117021250069E-2</v>
      </c>
      <c r="J19" s="5">
        <f t="shared" si="12"/>
        <v>3496.611702125007</v>
      </c>
      <c r="L19" s="27">
        <f t="shared" si="13"/>
        <v>-0.10496849096169275</v>
      </c>
      <c r="M19" s="27">
        <f t="shared" si="14"/>
        <v>-2.9142223995280662E-2</v>
      </c>
    </row>
    <row r="22" spans="2:23" x14ac:dyDescent="0.25">
      <c r="B22">
        <v>2019</v>
      </c>
      <c r="C22" t="s">
        <v>29</v>
      </c>
      <c r="D22" t="s">
        <v>30</v>
      </c>
      <c r="E22" s="2" t="s">
        <v>31</v>
      </c>
      <c r="F22" t="s">
        <v>11</v>
      </c>
      <c r="G22" t="s">
        <v>35</v>
      </c>
      <c r="H22" t="s">
        <v>36</v>
      </c>
      <c r="I22" t="s">
        <v>37</v>
      </c>
      <c r="J22" t="s">
        <v>32</v>
      </c>
      <c r="L22" t="s">
        <v>42</v>
      </c>
      <c r="M22" t="s">
        <v>47</v>
      </c>
      <c r="P22" t="s">
        <v>29</v>
      </c>
      <c r="Q22" t="s">
        <v>35</v>
      </c>
      <c r="R22" t="s">
        <v>30</v>
      </c>
      <c r="S22" t="s">
        <v>36</v>
      </c>
      <c r="T22" s="2" t="s">
        <v>31</v>
      </c>
      <c r="U22" t="s">
        <v>11</v>
      </c>
      <c r="V22" t="s">
        <v>13</v>
      </c>
    </row>
    <row r="23" spans="2:23" x14ac:dyDescent="0.25">
      <c r="B23" t="s">
        <v>6</v>
      </c>
      <c r="C23">
        <f>SUM(122,1818,2122,8128)</f>
        <v>12190</v>
      </c>
      <c r="D23">
        <f>SUM(9707,58687,8623)</f>
        <v>77017</v>
      </c>
      <c r="E23">
        <f>SUM(C23:D23)</f>
        <v>89207</v>
      </c>
      <c r="F23" s="30">
        <v>2010637</v>
      </c>
      <c r="G23" s="5">
        <f>(C23/F23)*100000</f>
        <v>606.27552362758661</v>
      </c>
      <c r="H23" s="5">
        <f>(D23/F23)*100000</f>
        <v>3830.47760485856</v>
      </c>
      <c r="I23" s="22">
        <f>E23/F23</f>
        <v>4.4367531284861463E-2</v>
      </c>
      <c r="J23" s="5">
        <f t="shared" ref="J23:J29" si="20">I23*100000</f>
        <v>4436.7531284861461</v>
      </c>
      <c r="L23" s="27">
        <f>(((J23-J65)/J65))</f>
        <v>-0.10765600485497689</v>
      </c>
      <c r="M23" s="27">
        <f>(((J23-J33)/J33))</f>
        <v>8.2270346805777758E-2</v>
      </c>
      <c r="O23" t="s">
        <v>1</v>
      </c>
      <c r="P23">
        <v>120508</v>
      </c>
      <c r="Q23">
        <f>(P23/U23)*100000</f>
        <v>415.60385766516282</v>
      </c>
      <c r="R23">
        <v>685371</v>
      </c>
      <c r="S23">
        <f>(R23/U23)*100000</f>
        <v>2363.6840004964843</v>
      </c>
      <c r="T23">
        <f>SUM(P23,R23)</f>
        <v>805879</v>
      </c>
      <c r="U23">
        <v>28995881</v>
      </c>
      <c r="V23">
        <f>(T23/U23)*100000</f>
        <v>2779.2878581616469</v>
      </c>
      <c r="W23" t="s">
        <v>41</v>
      </c>
    </row>
    <row r="24" spans="2:23" x14ac:dyDescent="0.25">
      <c r="B24" t="s">
        <v>7</v>
      </c>
      <c r="C24">
        <f>SUM(244,1274,5806,8432)</f>
        <v>15756</v>
      </c>
      <c r="D24">
        <f>SUM(13979,52851,15269)</f>
        <v>82099</v>
      </c>
      <c r="E24">
        <f>SUM(C24:D24)</f>
        <v>97855</v>
      </c>
      <c r="F24" s="30">
        <v>2943177</v>
      </c>
      <c r="G24" s="5">
        <f t="shared" ref="G24:G29" si="21">(C24/F24)*100000</f>
        <v>535.3398725255056</v>
      </c>
      <c r="H24" s="5">
        <f>(D24/F24)*100000</f>
        <v>2789.4686592073804</v>
      </c>
      <c r="I24" s="22">
        <f t="shared" ref="I24:I29" si="22">E24/F24</f>
        <v>3.3248085317328861E-2</v>
      </c>
      <c r="J24" s="5">
        <f t="shared" si="20"/>
        <v>3324.808531732886</v>
      </c>
      <c r="L24" s="27">
        <f t="shared" ref="L24:L29" si="23">(((J24-J66)/J66))</f>
        <v>-5.3964429790384426E-2</v>
      </c>
      <c r="M24" s="27">
        <f t="shared" ref="M24:M29" si="24">(((J24-J34)/J34))</f>
        <v>1.3297241880588673E-3</v>
      </c>
      <c r="O24" t="s">
        <v>14</v>
      </c>
      <c r="P24">
        <v>1203808</v>
      </c>
      <c r="Q24">
        <f>(P24/U24)*100000</f>
        <v>366.74681616570592</v>
      </c>
      <c r="R24">
        <v>6925677</v>
      </c>
      <c r="S24">
        <f>(R24/U24)*100000</f>
        <v>2109.9460956747735</v>
      </c>
      <c r="T24">
        <f>SUM(P24,R24)</f>
        <v>8129485</v>
      </c>
      <c r="U24" s="7">
        <v>328239523</v>
      </c>
      <c r="V24">
        <f>(T24/U24)*100000</f>
        <v>2476.6929118404792</v>
      </c>
      <c r="W24" t="s">
        <v>44</v>
      </c>
    </row>
    <row r="25" spans="2:23" x14ac:dyDescent="0.25">
      <c r="B25" t="s">
        <v>8</v>
      </c>
      <c r="C25">
        <f>SUM(41,369,363,2029)</f>
        <v>2802</v>
      </c>
      <c r="D25">
        <f>SUM(1293,9594,1004)</f>
        <v>11891</v>
      </c>
      <c r="E25">
        <f t="shared" ref="E25:E29" si="25">SUM(C25:D25)</f>
        <v>14693</v>
      </c>
      <c r="F25" s="30">
        <v>840222</v>
      </c>
      <c r="G25" s="5">
        <f t="shared" si="21"/>
        <v>333.48329370095047</v>
      </c>
      <c r="H25" s="5">
        <f t="shared" ref="H25:H28" si="26">(D25/F25)*100000</f>
        <v>1415.2212153454682</v>
      </c>
      <c r="I25" s="22">
        <f t="shared" si="22"/>
        <v>1.7487045090464188E-2</v>
      </c>
      <c r="J25" s="5">
        <f t="shared" si="20"/>
        <v>1748.7045090464187</v>
      </c>
      <c r="L25" s="27">
        <f t="shared" si="23"/>
        <v>-0.19627955806822822</v>
      </c>
      <c r="M25" s="27">
        <f t="shared" si="24"/>
        <v>-7.2297181185473356E-3</v>
      </c>
    </row>
    <row r="26" spans="2:23" x14ac:dyDescent="0.25">
      <c r="B26" t="s">
        <v>9</v>
      </c>
      <c r="C26">
        <f>SUM(392,2469,11920,19935)</f>
        <v>34716</v>
      </c>
      <c r="D26">
        <f>SUM(26031,112958,20770)</f>
        <v>159759</v>
      </c>
      <c r="E26">
        <f t="shared" si="25"/>
        <v>194475</v>
      </c>
      <c r="F26" s="30">
        <v>4776485</v>
      </c>
      <c r="G26" s="5">
        <f t="shared" si="21"/>
        <v>726.81061491871117</v>
      </c>
      <c r="H26" s="5">
        <f t="shared" si="26"/>
        <v>3344.6980363175012</v>
      </c>
      <c r="I26" s="22">
        <f t="shared" si="22"/>
        <v>4.0715086512362123E-2</v>
      </c>
      <c r="J26" s="5">
        <f t="shared" si="20"/>
        <v>4071.5086512362122</v>
      </c>
      <c r="L26" s="27">
        <f t="shared" si="23"/>
        <v>-4.9162205634921921E-2</v>
      </c>
      <c r="M26" s="27">
        <f t="shared" si="24"/>
        <v>4.2728137485119333E-2</v>
      </c>
    </row>
    <row r="27" spans="2:23" x14ac:dyDescent="0.25">
      <c r="B27" t="s">
        <v>10</v>
      </c>
      <c r="C27">
        <f>SUM(101,998,1690,4666)</f>
        <v>7455</v>
      </c>
      <c r="D27">
        <f>SUM(7035,37547,5950)</f>
        <v>50532</v>
      </c>
      <c r="E27">
        <f t="shared" si="25"/>
        <v>57987</v>
      </c>
      <c r="F27" s="30">
        <v>2050205</v>
      </c>
      <c r="G27" s="5">
        <f t="shared" si="21"/>
        <v>363.62217436792906</v>
      </c>
      <c r="H27" s="5">
        <f t="shared" si="26"/>
        <v>2464.7291368424135</v>
      </c>
      <c r="I27" s="22">
        <f t="shared" si="22"/>
        <v>2.8283513112103423E-2</v>
      </c>
      <c r="J27" s="5">
        <f t="shared" si="20"/>
        <v>2828.3513112103424</v>
      </c>
      <c r="L27" s="27">
        <f t="shared" si="23"/>
        <v>-0.18511653573306142</v>
      </c>
      <c r="M27" s="27">
        <f t="shared" si="24"/>
        <v>-3.8454457899203411E-2</v>
      </c>
    </row>
    <row r="28" spans="2:23" x14ac:dyDescent="0.25">
      <c r="B28" t="s">
        <v>0</v>
      </c>
      <c r="C28">
        <f>SUM(35,692,1085,3200)</f>
        <v>5012</v>
      </c>
      <c r="D28">
        <f>SUM(5329,33748,3540)</f>
        <v>42617</v>
      </c>
      <c r="E28">
        <f t="shared" si="25"/>
        <v>47629</v>
      </c>
      <c r="F28" s="30">
        <v>1313366</v>
      </c>
      <c r="G28" s="5">
        <f t="shared" si="21"/>
        <v>381.61487353867852</v>
      </c>
      <c r="H28" s="5">
        <f t="shared" si="26"/>
        <v>3244.8685286508098</v>
      </c>
      <c r="I28" s="22">
        <f t="shared" si="22"/>
        <v>3.6264834021894884E-2</v>
      </c>
      <c r="J28" s="5">
        <f t="shared" si="20"/>
        <v>3626.4834021894885</v>
      </c>
      <c r="L28" s="27">
        <f t="shared" si="23"/>
        <v>-1.3635449242212602E-2</v>
      </c>
      <c r="M28" s="27">
        <f t="shared" si="24"/>
        <v>6.8363544728283654E-2</v>
      </c>
    </row>
    <row r="29" spans="2:23" x14ac:dyDescent="0.25">
      <c r="B29" t="s">
        <v>5</v>
      </c>
      <c r="C29">
        <f>SUM(C23:C28)</f>
        <v>77931</v>
      </c>
      <c r="D29">
        <f>SUM(D23:D28)</f>
        <v>423915</v>
      </c>
      <c r="E29">
        <f t="shared" si="25"/>
        <v>501846</v>
      </c>
      <c r="F29" s="30">
        <f>SUM(F23:F28)</f>
        <v>13934092</v>
      </c>
      <c r="G29" s="5">
        <f t="shared" si="21"/>
        <v>559.28294430666892</v>
      </c>
      <c r="H29" s="5">
        <f>(D29/F29)*100000</f>
        <v>3042.2865013378696</v>
      </c>
      <c r="I29" s="22">
        <f t="shared" si="22"/>
        <v>3.6015694456445389E-2</v>
      </c>
      <c r="J29" s="5">
        <f t="shared" si="20"/>
        <v>3601.569445644539</v>
      </c>
      <c r="L29" s="27">
        <f t="shared" si="23"/>
        <v>-7.8840855503579846E-2</v>
      </c>
      <c r="M29" s="27">
        <f t="shared" si="24"/>
        <v>3.2084091591107117E-2</v>
      </c>
    </row>
    <row r="32" spans="2:23" x14ac:dyDescent="0.25">
      <c r="B32">
        <v>2018</v>
      </c>
      <c r="C32" t="s">
        <v>29</v>
      </c>
      <c r="D32" t="s">
        <v>30</v>
      </c>
      <c r="E32" s="2" t="s">
        <v>31</v>
      </c>
      <c r="F32" t="s">
        <v>11</v>
      </c>
      <c r="G32" t="s">
        <v>35</v>
      </c>
      <c r="H32" t="s">
        <v>36</v>
      </c>
      <c r="I32" t="s">
        <v>37</v>
      </c>
      <c r="J32" t="s">
        <v>32</v>
      </c>
      <c r="P32" t="s">
        <v>29</v>
      </c>
      <c r="Q32" t="s">
        <v>35</v>
      </c>
      <c r="R32" t="s">
        <v>30</v>
      </c>
      <c r="S32" t="s">
        <v>36</v>
      </c>
      <c r="T32" s="2" t="s">
        <v>31</v>
      </c>
      <c r="U32" t="s">
        <v>11</v>
      </c>
      <c r="V32" t="s">
        <v>13</v>
      </c>
    </row>
    <row r="33" spans="2:23" x14ac:dyDescent="0.25">
      <c r="B33" t="s">
        <v>6</v>
      </c>
      <c r="C33">
        <v>10780</v>
      </c>
      <c r="D33">
        <v>70909</v>
      </c>
      <c r="E33">
        <f>SUM(C33:D33)</f>
        <v>81689</v>
      </c>
      <c r="F33">
        <v>1992664</v>
      </c>
      <c r="G33" s="24">
        <f>(C33/F33)*100000</f>
        <v>540.98433052436337</v>
      </c>
      <c r="H33" s="24">
        <f>(D33/F33)*100000</f>
        <v>3558.5025874909165</v>
      </c>
      <c r="I33" s="22">
        <f>E33/F33</f>
        <v>4.0994869180152799E-2</v>
      </c>
      <c r="J33" s="5">
        <f>I33*100000</f>
        <v>4099.48691801528</v>
      </c>
      <c r="O33" t="s">
        <v>1</v>
      </c>
      <c r="P33">
        <v>118653</v>
      </c>
      <c r="Q33">
        <f>(P33/U33)*100000</f>
        <v>413.39851148941818</v>
      </c>
      <c r="R33">
        <v>678271</v>
      </c>
      <c r="S33">
        <f>(R33/U33)*100000</f>
        <v>2363.1616713141611</v>
      </c>
      <c r="T33">
        <f>SUM(P33,R33)</f>
        <v>796924</v>
      </c>
      <c r="U33">
        <v>28701845</v>
      </c>
      <c r="V33">
        <f>(T33/U33)*100000</f>
        <v>2776.5601828035792</v>
      </c>
      <c r="W33" s="23" t="s">
        <v>28</v>
      </c>
    </row>
    <row r="34" spans="2:23" x14ac:dyDescent="0.25">
      <c r="B34" t="s">
        <v>7</v>
      </c>
      <c r="C34">
        <v>14305</v>
      </c>
      <c r="D34">
        <v>83023</v>
      </c>
      <c r="E34">
        <f t="shared" ref="E34:E39" si="27">SUM(C34:D34)</f>
        <v>97328</v>
      </c>
      <c r="F34">
        <v>2931219</v>
      </c>
      <c r="G34" s="24">
        <f t="shared" ref="G34:G39" si="28">(C34/F34)*100000</f>
        <v>488.02221874244128</v>
      </c>
      <c r="H34" s="24">
        <f t="shared" ref="H34:H38" si="29">(D34/F34)*100000</f>
        <v>2832.3711056731008</v>
      </c>
      <c r="I34" s="22">
        <f t="shared" ref="I34:I39" si="30">E34/F34</f>
        <v>3.3203933244155416E-2</v>
      </c>
      <c r="J34" s="5">
        <f t="shared" ref="J34:J39" si="31">I34*100000</f>
        <v>3320.3933244155414</v>
      </c>
      <c r="O34" t="s">
        <v>14</v>
      </c>
      <c r="P34">
        <v>1209997</v>
      </c>
      <c r="Q34">
        <f>(P34/U34)*100000</f>
        <v>370.38362235964456</v>
      </c>
      <c r="R34">
        <v>7219084</v>
      </c>
      <c r="S34">
        <f>(R34/U34)*100000</f>
        <v>2209.7827366832744</v>
      </c>
      <c r="T34">
        <f>SUM(P34,R34)</f>
        <v>8429081</v>
      </c>
      <c r="U34" s="7">
        <v>326687501</v>
      </c>
      <c r="V34">
        <f>(T34/U34)*100000</f>
        <v>2580.1663590429189</v>
      </c>
      <c r="W34" t="s">
        <v>33</v>
      </c>
    </row>
    <row r="35" spans="2:23" x14ac:dyDescent="0.25">
      <c r="B35" t="s">
        <v>8</v>
      </c>
      <c r="C35">
        <v>2917</v>
      </c>
      <c r="D35">
        <v>11940</v>
      </c>
      <c r="E35">
        <f t="shared" si="27"/>
        <v>14857</v>
      </c>
      <c r="F35">
        <v>843458</v>
      </c>
      <c r="G35" s="24">
        <f t="shared" si="28"/>
        <v>345.83820415480085</v>
      </c>
      <c r="H35" s="24">
        <f t="shared" si="29"/>
        <v>1415.6010139212622</v>
      </c>
      <c r="I35" s="22">
        <f t="shared" si="30"/>
        <v>1.7614392180760632E-2</v>
      </c>
      <c r="J35" s="5">
        <f t="shared" si="31"/>
        <v>1761.4392180760631</v>
      </c>
    </row>
    <row r="36" spans="2:23" x14ac:dyDescent="0.25">
      <c r="B36" t="s">
        <v>9</v>
      </c>
      <c r="C36">
        <v>35213</v>
      </c>
      <c r="D36">
        <v>150393</v>
      </c>
      <c r="E36">
        <f t="shared" si="27"/>
        <v>185606</v>
      </c>
      <c r="F36">
        <v>4753437</v>
      </c>
      <c r="G36" s="24">
        <f t="shared" si="28"/>
        <v>740.79029552721545</v>
      </c>
      <c r="H36" s="24">
        <f t="shared" si="29"/>
        <v>3163.8791047404225</v>
      </c>
      <c r="I36" s="22">
        <f t="shared" si="30"/>
        <v>3.904669400267638E-2</v>
      </c>
      <c r="J36" s="5">
        <f t="shared" si="31"/>
        <v>3904.6694002676381</v>
      </c>
    </row>
    <row r="37" spans="2:23" x14ac:dyDescent="0.25">
      <c r="B37" t="s">
        <v>10</v>
      </c>
      <c r="C37">
        <v>7583</v>
      </c>
      <c r="D37">
        <v>52054</v>
      </c>
      <c r="E37">
        <f t="shared" si="27"/>
        <v>59637</v>
      </c>
      <c r="F37">
        <v>2027460</v>
      </c>
      <c r="G37" s="24">
        <f t="shared" si="28"/>
        <v>374.01477711027587</v>
      </c>
      <c r="H37" s="24">
        <f t="shared" si="29"/>
        <v>2567.4489262426882</v>
      </c>
      <c r="I37" s="22">
        <f t="shared" si="30"/>
        <v>2.9414637033529638E-2</v>
      </c>
      <c r="J37" s="5">
        <f t="shared" si="31"/>
        <v>2941.4637033529639</v>
      </c>
    </row>
    <row r="38" spans="2:23" x14ac:dyDescent="0.25">
      <c r="B38" t="s">
        <v>0</v>
      </c>
      <c r="C38">
        <v>4811</v>
      </c>
      <c r="D38">
        <v>39148</v>
      </c>
      <c r="E38">
        <f t="shared" si="27"/>
        <v>43959</v>
      </c>
      <c r="F38">
        <v>1295034</v>
      </c>
      <c r="G38" s="24">
        <f t="shared" si="28"/>
        <v>371.496037941861</v>
      </c>
      <c r="H38" s="24">
        <f t="shared" si="29"/>
        <v>3022.9322164514601</v>
      </c>
      <c r="I38" s="22">
        <f t="shared" si="30"/>
        <v>3.394428254393321E-2</v>
      </c>
      <c r="J38" s="5">
        <f t="shared" si="31"/>
        <v>3394.4282543933209</v>
      </c>
    </row>
    <row r="39" spans="2:23" x14ac:dyDescent="0.25">
      <c r="B39" t="s">
        <v>5</v>
      </c>
      <c r="C39">
        <f>SUM(C33:C38)</f>
        <v>75609</v>
      </c>
      <c r="D39">
        <f>SUM(D33:D38)</f>
        <v>407467</v>
      </c>
      <c r="E39">
        <f t="shared" si="27"/>
        <v>483076</v>
      </c>
      <c r="F39">
        <f>SUM(F33:F38)</f>
        <v>13843272</v>
      </c>
      <c r="G39" s="24">
        <f t="shared" si="28"/>
        <v>546.17867798884538</v>
      </c>
      <c r="H39" s="24">
        <f>(D39/F39)*100000</f>
        <v>2943.4298480879374</v>
      </c>
      <c r="I39" s="22">
        <f t="shared" si="30"/>
        <v>3.4896085260767831E-2</v>
      </c>
      <c r="J39" s="5">
        <f t="shared" si="31"/>
        <v>3489.6085260767832</v>
      </c>
    </row>
    <row r="42" spans="2:23" x14ac:dyDescent="0.25">
      <c r="B42">
        <v>2017</v>
      </c>
      <c r="C42" t="s">
        <v>29</v>
      </c>
      <c r="D42" t="s">
        <v>30</v>
      </c>
      <c r="E42" s="2" t="s">
        <v>31</v>
      </c>
      <c r="F42" t="s">
        <v>11</v>
      </c>
      <c r="G42" t="s">
        <v>35</v>
      </c>
      <c r="H42" t="s">
        <v>36</v>
      </c>
      <c r="I42" t="s">
        <v>37</v>
      </c>
      <c r="J42" t="s">
        <v>32</v>
      </c>
      <c r="K42" s="2"/>
      <c r="L42" s="2"/>
      <c r="M42" s="2"/>
      <c r="N42" s="2"/>
      <c r="P42" t="s">
        <v>29</v>
      </c>
      <c r="Q42" t="s">
        <v>35</v>
      </c>
      <c r="R42" t="s">
        <v>30</v>
      </c>
      <c r="S42" t="s">
        <v>36</v>
      </c>
      <c r="T42" t="s">
        <v>12</v>
      </c>
      <c r="U42" t="s">
        <v>11</v>
      </c>
      <c r="V42" t="s">
        <v>13</v>
      </c>
    </row>
    <row r="43" spans="2:23" x14ac:dyDescent="0.25">
      <c r="B43" t="s">
        <v>6</v>
      </c>
      <c r="C43">
        <v>11915</v>
      </c>
      <c r="D43">
        <v>84838</v>
      </c>
      <c r="E43" s="19">
        <f>SUM(C43:D43)</f>
        <v>96753</v>
      </c>
      <c r="F43" s="19">
        <v>1966517</v>
      </c>
      <c r="G43" s="25">
        <f t="shared" ref="G43:G49" si="32">(C43/F43)*100000</f>
        <v>605.89356715451731</v>
      </c>
      <c r="H43" s="25">
        <f t="shared" ref="H43:H49" si="33">(D43/F43)*100000</f>
        <v>4314.1249223881614</v>
      </c>
      <c r="I43" s="2">
        <f t="shared" ref="I43:I49" si="34">E43/F43</f>
        <v>4.9200184895426789E-2</v>
      </c>
      <c r="J43" s="4">
        <f>I43*100000</f>
        <v>4920.0184895426792</v>
      </c>
      <c r="K43" s="2"/>
      <c r="L43" s="2"/>
      <c r="M43" s="2"/>
      <c r="N43" s="2"/>
      <c r="O43" t="s">
        <v>1</v>
      </c>
      <c r="P43">
        <v>123211</v>
      </c>
      <c r="Q43">
        <f>(P43/U43)*100000</f>
        <v>435.30386372587691</v>
      </c>
      <c r="R43">
        <v>718844</v>
      </c>
      <c r="S43">
        <f>(R43/U43)*100000</f>
        <v>2539.6723556838615</v>
      </c>
      <c r="T43" s="2">
        <f>SUM(P43:R43)</f>
        <v>842490.30386372586</v>
      </c>
      <c r="U43" s="2">
        <v>28304596</v>
      </c>
      <c r="V43" s="2">
        <f>(T43/U43)*100000</f>
        <v>2976.5141458430489</v>
      </c>
      <c r="W43" t="s">
        <v>26</v>
      </c>
    </row>
    <row r="44" spans="2:23" x14ac:dyDescent="0.25">
      <c r="B44" t="s">
        <v>7</v>
      </c>
      <c r="C44">
        <v>14688</v>
      </c>
      <c r="D44">
        <v>83202</v>
      </c>
      <c r="E44" s="19">
        <f t="shared" ref="E44:E49" si="35">SUM(C44:D44)</f>
        <v>97890</v>
      </c>
      <c r="F44" s="7">
        <v>2877503</v>
      </c>
      <c r="G44" s="25">
        <f t="shared" si="32"/>
        <v>510.44256078968465</v>
      </c>
      <c r="H44" s="25">
        <f t="shared" si="33"/>
        <v>2891.4652738850318</v>
      </c>
      <c r="I44" s="2">
        <f t="shared" si="34"/>
        <v>3.401907834674716E-2</v>
      </c>
      <c r="J44" s="4">
        <f t="shared" ref="J44:J49" si="36">I44*100000</f>
        <v>3401.907834674716</v>
      </c>
      <c r="O44" t="s">
        <v>14</v>
      </c>
      <c r="P44">
        <v>1247321</v>
      </c>
      <c r="Q44">
        <f>(P44/U44)*100000</f>
        <v>383.61742098894365</v>
      </c>
      <c r="R44">
        <v>7694086</v>
      </c>
      <c r="S44">
        <f>(R44/U44)*100000</f>
        <v>2366.3398821852093</v>
      </c>
      <c r="T44" s="2">
        <f>SUM(P44:R44)</f>
        <v>8941790.6174209882</v>
      </c>
      <c r="U44" s="7">
        <v>325147121</v>
      </c>
      <c r="V44" s="2">
        <f>(T44/U44)*100000</f>
        <v>2750.0752858952696</v>
      </c>
      <c r="W44" t="s">
        <v>34</v>
      </c>
    </row>
    <row r="45" spans="2:23" x14ac:dyDescent="0.25">
      <c r="B45" t="s">
        <v>8</v>
      </c>
      <c r="C45">
        <v>3016</v>
      </c>
      <c r="D45">
        <v>14259</v>
      </c>
      <c r="E45" s="19">
        <f t="shared" si="35"/>
        <v>17275</v>
      </c>
      <c r="F45" s="7">
        <v>842905</v>
      </c>
      <c r="G45" s="25">
        <f t="shared" si="32"/>
        <v>357.81019213315852</v>
      </c>
      <c r="H45" s="25">
        <f t="shared" si="33"/>
        <v>1691.649711414691</v>
      </c>
      <c r="I45" s="2">
        <f t="shared" si="34"/>
        <v>2.0494599035478494E-2</v>
      </c>
      <c r="J45" s="4">
        <f t="shared" si="36"/>
        <v>2049.4599035478495</v>
      </c>
    </row>
    <row r="46" spans="2:23" x14ac:dyDescent="0.25">
      <c r="B46" t="s">
        <v>9</v>
      </c>
      <c r="C46">
        <v>36511</v>
      </c>
      <c r="D46">
        <v>154912</v>
      </c>
      <c r="E46" s="19">
        <f t="shared" si="35"/>
        <v>191423</v>
      </c>
      <c r="F46" s="7">
        <v>4702468</v>
      </c>
      <c r="G46" s="25">
        <f t="shared" si="32"/>
        <v>776.42208304235135</v>
      </c>
      <c r="H46" s="25">
        <f t="shared" si="33"/>
        <v>3294.2701577129287</v>
      </c>
      <c r="I46" s="2">
        <f t="shared" si="34"/>
        <v>4.0706922407552797E-2</v>
      </c>
      <c r="J46" s="4">
        <f t="shared" si="36"/>
        <v>4070.6922407552797</v>
      </c>
    </row>
    <row r="47" spans="2:23" x14ac:dyDescent="0.25">
      <c r="B47" t="s">
        <v>10</v>
      </c>
      <c r="C47">
        <v>8284</v>
      </c>
      <c r="D47">
        <v>55935</v>
      </c>
      <c r="E47" s="19">
        <f t="shared" si="35"/>
        <v>64219</v>
      </c>
      <c r="F47" s="7">
        <v>2005933</v>
      </c>
      <c r="G47" s="25">
        <f t="shared" si="32"/>
        <v>412.97490992969352</v>
      </c>
      <c r="H47" s="25">
        <f t="shared" si="33"/>
        <v>2788.4779800721162</v>
      </c>
      <c r="I47" s="2">
        <f t="shared" si="34"/>
        <v>3.2014528900018095E-2</v>
      </c>
      <c r="J47" s="4">
        <f t="shared" si="36"/>
        <v>3201.4528900018095</v>
      </c>
    </row>
    <row r="48" spans="2:23" x14ac:dyDescent="0.25">
      <c r="B48" t="s">
        <v>0</v>
      </c>
      <c r="C48">
        <v>4960</v>
      </c>
      <c r="D48">
        <v>37114</v>
      </c>
      <c r="E48" s="19">
        <f t="shared" si="35"/>
        <v>42074</v>
      </c>
      <c r="F48" s="19">
        <v>1286603</v>
      </c>
      <c r="G48" s="25">
        <f t="shared" si="32"/>
        <v>385.51130379767494</v>
      </c>
      <c r="H48" s="25">
        <f t="shared" si="33"/>
        <v>2884.6505099086507</v>
      </c>
      <c r="I48" s="2">
        <f t="shared" si="34"/>
        <v>3.2701618137063258E-2</v>
      </c>
      <c r="J48" s="4">
        <f t="shared" si="36"/>
        <v>3270.161813706326</v>
      </c>
    </row>
    <row r="49" spans="1:23" x14ac:dyDescent="0.25">
      <c r="B49" t="s">
        <v>5</v>
      </c>
      <c r="C49">
        <f>SUM(C43:C48)</f>
        <v>79374</v>
      </c>
      <c r="D49">
        <f>SUM(D43:D48)</f>
        <v>430260</v>
      </c>
      <c r="E49" s="19">
        <f t="shared" si="35"/>
        <v>509634</v>
      </c>
      <c r="F49">
        <f>SUM(F43:F48)</f>
        <v>13681929</v>
      </c>
      <c r="G49" s="25">
        <f t="shared" si="32"/>
        <v>580.13749377006707</v>
      </c>
      <c r="H49" s="25">
        <f t="shared" si="33"/>
        <v>3144.7320037985874</v>
      </c>
      <c r="I49" s="2">
        <f t="shared" si="34"/>
        <v>3.7248694975686544E-2</v>
      </c>
      <c r="J49" s="4">
        <f t="shared" si="36"/>
        <v>3724.8694975686544</v>
      </c>
    </row>
    <row r="50" spans="1:23" x14ac:dyDescent="0.25">
      <c r="B50" s="6"/>
      <c r="C50" s="6"/>
      <c r="D50" s="6"/>
      <c r="O50" s="2"/>
      <c r="P50" s="2"/>
      <c r="Q50" s="2"/>
      <c r="R50" s="2"/>
      <c r="S50" s="2"/>
      <c r="T50" s="2"/>
      <c r="U50" s="2"/>
      <c r="V50" s="2"/>
    </row>
    <row r="51" spans="1:2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x14ac:dyDescent="0.25">
      <c r="A53" s="2"/>
      <c r="B53">
        <v>2016</v>
      </c>
      <c r="C53" t="s">
        <v>29</v>
      </c>
      <c r="D53" t="s">
        <v>30</v>
      </c>
      <c r="E53" s="2" t="s">
        <v>31</v>
      </c>
      <c r="F53" t="s">
        <v>11</v>
      </c>
      <c r="G53" t="s">
        <v>35</v>
      </c>
      <c r="H53" t="s">
        <v>36</v>
      </c>
      <c r="I53" t="s">
        <v>37</v>
      </c>
      <c r="J53" t="s">
        <v>32</v>
      </c>
      <c r="K53" s="2"/>
      <c r="L53" s="2"/>
      <c r="M53" s="2"/>
      <c r="N53" s="2"/>
      <c r="P53" t="s">
        <v>29</v>
      </c>
      <c r="Q53" t="s">
        <v>35</v>
      </c>
      <c r="R53" t="s">
        <v>30</v>
      </c>
      <c r="S53" t="s">
        <v>36</v>
      </c>
      <c r="T53" t="s">
        <v>12</v>
      </c>
      <c r="U53" t="s">
        <v>11</v>
      </c>
      <c r="V53" t="s">
        <v>13</v>
      </c>
    </row>
    <row r="54" spans="1:23" x14ac:dyDescent="0.25">
      <c r="A54" s="2"/>
      <c r="B54" t="s">
        <v>6</v>
      </c>
      <c r="C54">
        <v>11745</v>
      </c>
      <c r="D54">
        <v>90172</v>
      </c>
      <c r="E54" s="2">
        <f>SUM(C54:D54)</f>
        <v>101917</v>
      </c>
      <c r="F54" s="2">
        <v>1932033</v>
      </c>
      <c r="G54" s="26">
        <f t="shared" ref="G54:G60" si="37">(C54/F54)*100000</f>
        <v>607.90887112176654</v>
      </c>
      <c r="H54" s="26">
        <f t="shared" ref="H54:H60" si="38">(D54/F54)*100000</f>
        <v>4667.2080652866698</v>
      </c>
      <c r="I54" s="2">
        <f>E54/F54</f>
        <v>5.275116936408436E-2</v>
      </c>
      <c r="J54" s="4">
        <f>I54*100000</f>
        <v>5275.1169364084362</v>
      </c>
      <c r="K54" s="2"/>
      <c r="L54" s="2"/>
      <c r="M54" s="2"/>
      <c r="N54" s="2"/>
      <c r="O54" t="s">
        <v>1</v>
      </c>
      <c r="P54">
        <v>120652</v>
      </c>
      <c r="Q54">
        <f>(P54/U54)*100000</f>
        <v>433.6616191423584</v>
      </c>
      <c r="R54">
        <v>765537</v>
      </c>
      <c r="S54">
        <f>(R54/U54)*100000</f>
        <v>2751.5831891173261</v>
      </c>
      <c r="T54" s="2">
        <f>SUM(P54:R54)</f>
        <v>886622.6616191424</v>
      </c>
      <c r="U54">
        <v>27821692</v>
      </c>
      <c r="V54" s="2">
        <f>(T54/U54)*100000</f>
        <v>3186.8035258931859</v>
      </c>
    </row>
    <row r="55" spans="1:23" x14ac:dyDescent="0.25">
      <c r="B55" t="s">
        <v>7</v>
      </c>
      <c r="C55">
        <v>14329</v>
      </c>
      <c r="D55">
        <v>87652</v>
      </c>
      <c r="E55" s="2">
        <f t="shared" ref="E55:E60" si="39">SUM(C55:D55)</f>
        <v>101981</v>
      </c>
      <c r="F55">
        <v>2857909</v>
      </c>
      <c r="G55" s="26">
        <f t="shared" si="37"/>
        <v>501.38055480422923</v>
      </c>
      <c r="H55" s="26">
        <f t="shared" si="38"/>
        <v>3066.9975845976901</v>
      </c>
      <c r="I55" s="2">
        <f t="shared" ref="I55:I60" si="40">E55/F55</f>
        <v>3.5683781394019197E-2</v>
      </c>
      <c r="J55" s="4">
        <f t="shared" ref="J55:J60" si="41">I55*100000</f>
        <v>3568.3781394019197</v>
      </c>
      <c r="O55" t="s">
        <v>14</v>
      </c>
      <c r="P55">
        <v>1248185</v>
      </c>
      <c r="Q55">
        <f>(P55/U55)*100000</f>
        <v>385.94993626199221</v>
      </c>
      <c r="R55">
        <v>7919035</v>
      </c>
      <c r="S55">
        <f>(R55/U55)*100000</f>
        <v>2448.6362626585687</v>
      </c>
      <c r="T55">
        <v>9167220</v>
      </c>
      <c r="U55" s="7">
        <v>323405935</v>
      </c>
      <c r="V55" s="2">
        <f>(T55/U55)*100000</f>
        <v>2834.5861989205609</v>
      </c>
      <c r="W55" t="s">
        <v>25</v>
      </c>
    </row>
    <row r="56" spans="1:23" x14ac:dyDescent="0.25">
      <c r="B56" t="s">
        <v>8</v>
      </c>
      <c r="C56">
        <v>3055</v>
      </c>
      <c r="D56">
        <v>14365</v>
      </c>
      <c r="E56" s="2">
        <f t="shared" si="39"/>
        <v>17420</v>
      </c>
      <c r="F56">
        <v>838465</v>
      </c>
      <c r="G56" s="26">
        <f t="shared" si="37"/>
        <v>364.35629394190573</v>
      </c>
      <c r="H56" s="26">
        <f t="shared" si="38"/>
        <v>1713.2498076842803</v>
      </c>
      <c r="I56" s="2">
        <f t="shared" si="40"/>
        <v>2.0776061016261858E-2</v>
      </c>
      <c r="J56" s="4">
        <f t="shared" si="41"/>
        <v>2077.606101626186</v>
      </c>
    </row>
    <row r="57" spans="1:23" x14ac:dyDescent="0.25">
      <c r="B57" t="s">
        <v>9</v>
      </c>
      <c r="C57">
        <v>34814</v>
      </c>
      <c r="D57">
        <v>162877</v>
      </c>
      <c r="E57" s="2">
        <f t="shared" si="39"/>
        <v>197691</v>
      </c>
      <c r="F57">
        <v>4646498</v>
      </c>
      <c r="G57" s="26">
        <f t="shared" si="37"/>
        <v>749.25244775742942</v>
      </c>
      <c r="H57" s="26">
        <f t="shared" si="38"/>
        <v>3505.371141879325</v>
      </c>
      <c r="I57" s="2">
        <f t="shared" si="40"/>
        <v>4.2546235896367544E-2</v>
      </c>
      <c r="J57" s="4">
        <f t="shared" si="41"/>
        <v>4254.6235896367543</v>
      </c>
    </row>
    <row r="58" spans="1:23" x14ac:dyDescent="0.25">
      <c r="B58" t="s">
        <v>10</v>
      </c>
      <c r="C58">
        <v>7974</v>
      </c>
      <c r="D58">
        <v>55684</v>
      </c>
      <c r="E58" s="2">
        <f t="shared" si="39"/>
        <v>63658</v>
      </c>
      <c r="F58">
        <v>1957085</v>
      </c>
      <c r="G58" s="26">
        <f t="shared" si="37"/>
        <v>407.44270177330066</v>
      </c>
      <c r="H58" s="26">
        <f t="shared" si="38"/>
        <v>2845.2519946757552</v>
      </c>
      <c r="I58" s="2">
        <f t="shared" si="40"/>
        <v>3.2526946964490558E-2</v>
      </c>
      <c r="J58" s="4">
        <f t="shared" si="41"/>
        <v>3252.6946964490558</v>
      </c>
    </row>
    <row r="59" spans="1:23" x14ac:dyDescent="0.25">
      <c r="B59" t="s">
        <v>0</v>
      </c>
      <c r="C59">
        <v>4888</v>
      </c>
      <c r="D59">
        <v>39600</v>
      </c>
      <c r="E59" s="2">
        <f t="shared" si="39"/>
        <v>44488</v>
      </c>
      <c r="F59" s="2">
        <v>1261654</v>
      </c>
      <c r="G59" s="26">
        <f t="shared" si="37"/>
        <v>387.42793190526083</v>
      </c>
      <c r="H59" s="26">
        <f t="shared" si="38"/>
        <v>3138.7369278740448</v>
      </c>
      <c r="I59" s="2">
        <f t="shared" si="40"/>
        <v>3.5261648597793058E-2</v>
      </c>
      <c r="J59" s="4">
        <f t="shared" si="41"/>
        <v>3526.164859779306</v>
      </c>
    </row>
    <row r="60" spans="1:23" x14ac:dyDescent="0.25">
      <c r="B60" t="s">
        <v>5</v>
      </c>
      <c r="C60">
        <f>SUM(C54:C59)</f>
        <v>76805</v>
      </c>
      <c r="D60">
        <f>SUM(D54:D59)</f>
        <v>450350</v>
      </c>
      <c r="E60">
        <f t="shared" si="39"/>
        <v>527155</v>
      </c>
      <c r="F60">
        <f>SUM(F54:F59)</f>
        <v>13493644</v>
      </c>
      <c r="G60" s="26">
        <f t="shared" si="37"/>
        <v>569.19391085165728</v>
      </c>
      <c r="H60" s="26">
        <f t="shared" si="38"/>
        <v>3337.4972690846148</v>
      </c>
      <c r="I60" s="2">
        <f t="shared" si="40"/>
        <v>3.9066911799362725E-2</v>
      </c>
      <c r="J60" s="4">
        <f t="shared" si="41"/>
        <v>3906.6911799362724</v>
      </c>
    </row>
    <row r="61" spans="1:23" x14ac:dyDescent="0.25">
      <c r="B61" s="6"/>
      <c r="C61" s="6"/>
      <c r="D61" s="6"/>
    </row>
    <row r="62" spans="1:23" x14ac:dyDescent="0.25">
      <c r="A62" s="2"/>
      <c r="B62" s="2"/>
      <c r="C62" s="2"/>
      <c r="D62" s="2"/>
      <c r="E62" s="2"/>
      <c r="F62" s="2"/>
      <c r="G62" s="2"/>
      <c r="H62" s="2"/>
      <c r="I62" s="2"/>
      <c r="O62" s="2"/>
      <c r="P62" s="2"/>
      <c r="Q62" s="2"/>
      <c r="R62" s="2"/>
      <c r="S62" s="2"/>
      <c r="T62" s="2"/>
      <c r="U62" s="2"/>
      <c r="V62" s="2"/>
    </row>
    <row r="63" spans="1:23" x14ac:dyDescent="0.25">
      <c r="A63" s="3"/>
      <c r="B63" s="2"/>
      <c r="C63" s="2"/>
      <c r="D63" s="2"/>
      <c r="E63" s="2"/>
      <c r="F63" s="2"/>
      <c r="G63" s="2"/>
      <c r="H63" s="2"/>
      <c r="I63" s="2"/>
      <c r="O63" s="2"/>
      <c r="P63" s="2"/>
      <c r="Q63" s="2"/>
      <c r="R63" s="2"/>
      <c r="S63" s="2"/>
      <c r="T63" s="2"/>
      <c r="U63" s="2"/>
      <c r="V63" s="2"/>
    </row>
    <row r="64" spans="1:23" x14ac:dyDescent="0.25">
      <c r="A64" s="2"/>
      <c r="B64">
        <v>2015</v>
      </c>
      <c r="C64" t="s">
        <v>29</v>
      </c>
      <c r="D64" t="s">
        <v>30</v>
      </c>
      <c r="E64" s="2" t="s">
        <v>31</v>
      </c>
      <c r="F64" t="s">
        <v>11</v>
      </c>
      <c r="G64" t="s">
        <v>35</v>
      </c>
      <c r="H64" t="s">
        <v>36</v>
      </c>
      <c r="I64" t="s">
        <v>37</v>
      </c>
      <c r="J64" t="s">
        <v>32</v>
      </c>
      <c r="P64" t="s">
        <v>29</v>
      </c>
      <c r="Q64" t="s">
        <v>35</v>
      </c>
      <c r="R64" t="s">
        <v>30</v>
      </c>
      <c r="S64" t="s">
        <v>36</v>
      </c>
      <c r="T64" t="s">
        <v>12</v>
      </c>
      <c r="U64" t="s">
        <v>11</v>
      </c>
      <c r="V64" t="s">
        <v>13</v>
      </c>
    </row>
    <row r="65" spans="1:22" x14ac:dyDescent="0.25">
      <c r="A65" s="2"/>
      <c r="B65" t="s">
        <v>6</v>
      </c>
      <c r="C65">
        <v>9494</v>
      </c>
      <c r="D65">
        <v>84850</v>
      </c>
      <c r="E65" s="2">
        <f>SUM(C65:D65)</f>
        <v>94344</v>
      </c>
      <c r="F65" s="2">
        <v>1897498</v>
      </c>
      <c r="G65" s="26">
        <f t="shared" ref="G65:G71" si="42">(C65/F65)*100000</f>
        <v>500.34308336556876</v>
      </c>
      <c r="H65" s="26">
        <f t="shared" ref="H65:H71" si="43">(D65/F65)*100000</f>
        <v>4471.6779675130092</v>
      </c>
      <c r="I65">
        <f>E65/F65</f>
        <v>4.9720210508785778E-2</v>
      </c>
      <c r="J65" s="5">
        <f>I65*100000</f>
        <v>4972.0210508785776</v>
      </c>
      <c r="O65" t="s">
        <v>1</v>
      </c>
      <c r="P65">
        <v>112763</v>
      </c>
      <c r="Q65">
        <f>(P65/U65)*100000</f>
        <v>410.5083258236869</v>
      </c>
      <c r="R65">
        <v>775392</v>
      </c>
      <c r="S65">
        <f>(R65/U65)*100000</f>
        <v>2822.7776112473084</v>
      </c>
      <c r="T65" s="2">
        <f>SUM(P65:R65)</f>
        <v>888565.5083258237</v>
      </c>
      <c r="U65" s="2">
        <v>27469114</v>
      </c>
      <c r="V65" s="2">
        <f>(T65/U65)*100000</f>
        <v>3234.7803730612636</v>
      </c>
    </row>
    <row r="66" spans="1:22" x14ac:dyDescent="0.25">
      <c r="B66" t="s">
        <v>7</v>
      </c>
      <c r="C66">
        <v>12851</v>
      </c>
      <c r="D66">
        <v>86599</v>
      </c>
      <c r="E66" s="2">
        <f t="shared" ref="E66:E71" si="44">SUM(C66:D66)</f>
        <v>99450</v>
      </c>
      <c r="F66">
        <v>2829734</v>
      </c>
      <c r="G66" s="26">
        <f t="shared" si="42"/>
        <v>454.14162603269426</v>
      </c>
      <c r="H66" s="26">
        <f t="shared" si="43"/>
        <v>3060.3229844218572</v>
      </c>
      <c r="I66">
        <f t="shared" ref="I66:I71" si="45">E66/F66</f>
        <v>3.5144646104545513E-2</v>
      </c>
      <c r="J66" s="5">
        <f t="shared" ref="J66:J71" si="46">I66*100000</f>
        <v>3514.4646104545513</v>
      </c>
      <c r="O66" t="s">
        <v>14</v>
      </c>
      <c r="P66">
        <v>1197704</v>
      </c>
      <c r="Q66">
        <f>(P66/U66)*100000</f>
        <v>372.63032699827596</v>
      </c>
      <c r="R66">
        <v>7993631</v>
      </c>
      <c r="S66">
        <f>(R66/U66)*100000</f>
        <v>2486.9828717559226</v>
      </c>
      <c r="T66">
        <v>9191335</v>
      </c>
      <c r="U66">
        <v>321418820</v>
      </c>
      <c r="V66" s="2">
        <f>(T66/U66)*100000</f>
        <v>2859.6131987541985</v>
      </c>
    </row>
    <row r="67" spans="1:22" x14ac:dyDescent="0.25">
      <c r="B67" t="s">
        <v>8</v>
      </c>
      <c r="C67">
        <v>2965</v>
      </c>
      <c r="D67">
        <v>15350</v>
      </c>
      <c r="E67" s="2">
        <f t="shared" si="44"/>
        <v>18315</v>
      </c>
      <c r="F67">
        <v>841774</v>
      </c>
      <c r="G67" s="26">
        <f t="shared" si="42"/>
        <v>352.23230938470419</v>
      </c>
      <c r="H67" s="26">
        <f t="shared" si="43"/>
        <v>1823.5298310472883</v>
      </c>
      <c r="I67">
        <f t="shared" si="45"/>
        <v>2.1757621404319926E-2</v>
      </c>
      <c r="J67" s="5">
        <f t="shared" si="46"/>
        <v>2175.7621404319925</v>
      </c>
    </row>
    <row r="68" spans="1:22" x14ac:dyDescent="0.25">
      <c r="B68" t="s">
        <v>9</v>
      </c>
      <c r="C68">
        <v>32980</v>
      </c>
      <c r="D68">
        <v>162549</v>
      </c>
      <c r="E68" s="2">
        <f t="shared" si="44"/>
        <v>195529</v>
      </c>
      <c r="F68">
        <v>4566277</v>
      </c>
      <c r="G68" s="26">
        <f t="shared" si="42"/>
        <v>722.25140962758064</v>
      </c>
      <c r="H68" s="26">
        <f t="shared" si="43"/>
        <v>3559.7709030792485</v>
      </c>
      <c r="I68">
        <f t="shared" si="45"/>
        <v>4.2820223127068291E-2</v>
      </c>
      <c r="J68" s="5">
        <f t="shared" si="46"/>
        <v>4282.0223127068293</v>
      </c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25">
      <c r="B69" t="s">
        <v>10</v>
      </c>
      <c r="C69">
        <v>7564</v>
      </c>
      <c r="D69">
        <v>59420</v>
      </c>
      <c r="E69" s="2">
        <f t="shared" si="44"/>
        <v>66984</v>
      </c>
      <c r="F69">
        <v>1929893</v>
      </c>
      <c r="G69" s="26">
        <f t="shared" si="42"/>
        <v>391.93882769666504</v>
      </c>
      <c r="H69" s="26">
        <f t="shared" si="43"/>
        <v>3078.9271736826859</v>
      </c>
      <c r="I69">
        <f t="shared" si="45"/>
        <v>3.470866001379351E-2</v>
      </c>
      <c r="J69" s="5">
        <f t="shared" si="46"/>
        <v>3470.866001379351</v>
      </c>
      <c r="O69" s="2"/>
      <c r="P69" s="2"/>
      <c r="Q69" s="2"/>
      <c r="R69" s="2"/>
      <c r="S69" s="2"/>
      <c r="T69" s="2"/>
      <c r="U69" s="2"/>
      <c r="V69" s="2"/>
    </row>
    <row r="70" spans="1:22" x14ac:dyDescent="0.25">
      <c r="B70" t="s">
        <v>0</v>
      </c>
      <c r="C70">
        <v>4314</v>
      </c>
      <c r="D70">
        <v>41326</v>
      </c>
      <c r="E70" s="2">
        <f t="shared" si="44"/>
        <v>45640</v>
      </c>
      <c r="F70">
        <v>1241359</v>
      </c>
      <c r="G70" s="26">
        <f t="shared" si="42"/>
        <v>347.52235251848981</v>
      </c>
      <c r="H70" s="26">
        <f t="shared" si="43"/>
        <v>3329.0933565551945</v>
      </c>
      <c r="I70">
        <f t="shared" si="45"/>
        <v>3.6766157090736842E-2</v>
      </c>
      <c r="J70" s="5">
        <f t="shared" si="46"/>
        <v>3676.6157090736842</v>
      </c>
      <c r="O70" s="2"/>
      <c r="P70" s="2"/>
      <c r="Q70" s="2"/>
      <c r="R70" s="2"/>
      <c r="S70" s="2"/>
      <c r="T70" s="2"/>
      <c r="U70" s="2"/>
      <c r="V70" s="2"/>
    </row>
    <row r="71" spans="1:22" x14ac:dyDescent="0.25">
      <c r="B71" t="s">
        <v>5</v>
      </c>
      <c r="C71">
        <f>SUM(C65:C70)</f>
        <v>70168</v>
      </c>
      <c r="D71">
        <f>SUM(D65:D70)</f>
        <v>450094</v>
      </c>
      <c r="E71" s="2">
        <f t="shared" si="44"/>
        <v>520262</v>
      </c>
      <c r="F71">
        <f>SUM(F65:F70)</f>
        <v>13306535</v>
      </c>
      <c r="G71" s="26">
        <f t="shared" si="42"/>
        <v>527.31984697744383</v>
      </c>
      <c r="H71" s="26">
        <f t="shared" si="43"/>
        <v>3382.5034090392428</v>
      </c>
      <c r="I71">
        <f t="shared" si="45"/>
        <v>3.9098232560166868E-2</v>
      </c>
      <c r="J71" s="5">
        <f t="shared" si="46"/>
        <v>3909.8232560166866</v>
      </c>
      <c r="O71" s="2"/>
      <c r="P71" s="2"/>
      <c r="Q71" s="2"/>
      <c r="R71" s="2"/>
      <c r="S71" s="2"/>
      <c r="T71" s="2"/>
      <c r="U71" s="2"/>
      <c r="V71" s="2"/>
    </row>
    <row r="72" spans="1:22" x14ac:dyDescent="0.25">
      <c r="O72" s="2"/>
      <c r="P72" s="2"/>
      <c r="Q72" s="2"/>
      <c r="R72" s="2"/>
      <c r="S72" s="2"/>
      <c r="T72" s="2"/>
      <c r="U72" s="2"/>
      <c r="V72" s="2"/>
    </row>
    <row r="74" spans="1:22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22" x14ac:dyDescent="0.25">
      <c r="B75">
        <v>2014</v>
      </c>
      <c r="C75" t="s">
        <v>29</v>
      </c>
      <c r="D75" t="s">
        <v>30</v>
      </c>
      <c r="E75" s="2" t="s">
        <v>31</v>
      </c>
      <c r="F75" t="s">
        <v>11</v>
      </c>
      <c r="G75" t="s">
        <v>35</v>
      </c>
      <c r="H75" t="s">
        <v>36</v>
      </c>
      <c r="I75" t="s">
        <v>37</v>
      </c>
      <c r="J75" t="s">
        <v>32</v>
      </c>
      <c r="P75" t="s">
        <v>29</v>
      </c>
      <c r="Q75" t="s">
        <v>35</v>
      </c>
      <c r="R75" t="s">
        <v>30</v>
      </c>
      <c r="S75" t="s">
        <v>36</v>
      </c>
      <c r="T75" t="s">
        <v>12</v>
      </c>
      <c r="U75" t="s">
        <v>11</v>
      </c>
      <c r="V75" t="s">
        <v>13</v>
      </c>
    </row>
    <row r="76" spans="1:22" x14ac:dyDescent="0.25">
      <c r="B76" t="s">
        <v>6</v>
      </c>
      <c r="C76">
        <v>8433</v>
      </c>
      <c r="D76">
        <v>88626</v>
      </c>
      <c r="E76" s="5">
        <f>SUM(C76:D76)</f>
        <v>97059</v>
      </c>
      <c r="F76">
        <v>1857948</v>
      </c>
      <c r="G76" s="5">
        <f t="shared" ref="G76:G82" si="47">(C76/F76)*100000</f>
        <v>453.88783754981307</v>
      </c>
      <c r="H76">
        <f t="shared" ref="H76:H82" si="48">(D76/F76)*100000</f>
        <v>4770.1012084299455</v>
      </c>
      <c r="I76">
        <f>E76/F76</f>
        <v>5.2239890459797586E-2</v>
      </c>
      <c r="J76" s="5">
        <f>I76*100000</f>
        <v>5223.9890459797589</v>
      </c>
      <c r="O76" t="s">
        <v>1</v>
      </c>
      <c r="P76">
        <v>108848</v>
      </c>
      <c r="Q76">
        <f>(P76/U76)*100000</f>
        <v>404.23507996054212</v>
      </c>
      <c r="R76">
        <v>804555</v>
      </c>
      <c r="S76">
        <f>(R76/U76)*100000</f>
        <v>2987.9221920260725</v>
      </c>
      <c r="T76" s="7">
        <f>SUM(P76:R76)</f>
        <v>913807.23507996055</v>
      </c>
      <c r="U76">
        <v>26926906</v>
      </c>
      <c r="V76" s="8">
        <f>(T76/U76)*100000</f>
        <v>3393.6585030599526</v>
      </c>
    </row>
    <row r="77" spans="1:22" x14ac:dyDescent="0.25">
      <c r="B77" t="s">
        <v>7</v>
      </c>
      <c r="C77">
        <v>12022</v>
      </c>
      <c r="D77">
        <v>88311</v>
      </c>
      <c r="E77" s="5">
        <f>SUM(C77:D77)</f>
        <v>100333</v>
      </c>
      <c r="F77">
        <v>2787018</v>
      </c>
      <c r="G77" s="5">
        <f t="shared" si="47"/>
        <v>431.35709923653167</v>
      </c>
      <c r="H77">
        <f t="shared" si="48"/>
        <v>3168.6555307500703</v>
      </c>
      <c r="I77">
        <f>E77/F77</f>
        <v>3.6000126299866021E-2</v>
      </c>
      <c r="J77" s="5">
        <f>I77*100000</f>
        <v>3600.012629986602</v>
      </c>
      <c r="O77" t="s">
        <v>14</v>
      </c>
      <c r="P77">
        <v>1165383</v>
      </c>
      <c r="Q77">
        <f>(P77/U77)*100000</f>
        <v>365.48759955934611</v>
      </c>
      <c r="R77">
        <v>8277829</v>
      </c>
      <c r="S77">
        <f>(R77/U77)*100000</f>
        <v>2596.0940315524963</v>
      </c>
      <c r="T77" s="7">
        <f>SUM(P77:R77)</f>
        <v>9443577.4875995591</v>
      </c>
      <c r="U77" s="7">
        <v>318857056</v>
      </c>
      <c r="V77" s="8">
        <f>(T77/U77)*100000</f>
        <v>2961.6962553902395</v>
      </c>
    </row>
    <row r="78" spans="1:22" x14ac:dyDescent="0.25">
      <c r="B78" t="s">
        <v>8</v>
      </c>
      <c r="C78">
        <v>3056</v>
      </c>
      <c r="D78">
        <v>17045</v>
      </c>
      <c r="E78" s="5">
        <f>SUM(C78:D78)</f>
        <v>20101</v>
      </c>
      <c r="F78">
        <v>839969</v>
      </c>
      <c r="G78" s="5">
        <f t="shared" si="47"/>
        <v>363.82295060889152</v>
      </c>
      <c r="H78">
        <f t="shared" si="48"/>
        <v>2029.241555343114</v>
      </c>
      <c r="I78">
        <f>E78/F78</f>
        <v>2.3930645059520052E-2</v>
      </c>
      <c r="J78" s="5">
        <f>I78*100000</f>
        <v>2393.0645059520052</v>
      </c>
    </row>
    <row r="79" spans="1:22" x14ac:dyDescent="0.25">
      <c r="B79" t="s">
        <v>9</v>
      </c>
      <c r="C79">
        <v>32307</v>
      </c>
      <c r="D79">
        <v>170412</v>
      </c>
      <c r="E79" s="5">
        <f>SUM(C79:D79)</f>
        <v>202719</v>
      </c>
      <c r="F79">
        <v>4455105</v>
      </c>
      <c r="G79" s="5">
        <f t="shared" si="47"/>
        <v>725.16809368129373</v>
      </c>
      <c r="H79">
        <f t="shared" si="48"/>
        <v>3825.0950314302354</v>
      </c>
      <c r="I79">
        <f>E79/F79</f>
        <v>4.5502631251115297E-2</v>
      </c>
      <c r="J79" s="5">
        <f>I79*100000</f>
        <v>4550.2631251115299</v>
      </c>
    </row>
    <row r="80" spans="1:22" x14ac:dyDescent="0.25">
      <c r="B80" t="s">
        <v>10</v>
      </c>
      <c r="C80">
        <v>7647</v>
      </c>
      <c r="D80">
        <v>62405</v>
      </c>
      <c r="E80" s="5">
        <f t="shared" ref="E80:E82" si="49">SUM(C80:D80)</f>
        <v>70052</v>
      </c>
      <c r="F80">
        <v>1897632</v>
      </c>
      <c r="G80" s="5">
        <f t="shared" si="47"/>
        <v>402.97591946172918</v>
      </c>
      <c r="H80">
        <f t="shared" si="48"/>
        <v>3288.572283772618</v>
      </c>
      <c r="I80">
        <f t="shared" ref="I80:I82" si="50">E80/F80</f>
        <v>3.6915482032343468E-2</v>
      </c>
      <c r="J80" s="5">
        <f t="shared" ref="J80:J82" si="51">I80*100000</f>
        <v>3691.5482032343466</v>
      </c>
    </row>
    <row r="81" spans="2:10" x14ac:dyDescent="0.25">
      <c r="B81" t="s">
        <v>0</v>
      </c>
      <c r="C81">
        <v>4309</v>
      </c>
      <c r="D81">
        <v>43773</v>
      </c>
      <c r="E81" s="5">
        <f t="shared" si="49"/>
        <v>48082</v>
      </c>
      <c r="F81">
        <v>1205571</v>
      </c>
      <c r="G81" s="5">
        <f t="shared" si="47"/>
        <v>357.42399244839169</v>
      </c>
      <c r="H81">
        <f t="shared" si="48"/>
        <v>3630.8935765707697</v>
      </c>
      <c r="I81">
        <f t="shared" si="50"/>
        <v>3.9883175690191619E-2</v>
      </c>
      <c r="J81" s="5">
        <f t="shared" si="51"/>
        <v>3988.317569019162</v>
      </c>
    </row>
    <row r="82" spans="2:10" x14ac:dyDescent="0.25">
      <c r="B82" t="s">
        <v>5</v>
      </c>
      <c r="C82">
        <f>SUM(C76:C81)</f>
        <v>67774</v>
      </c>
      <c r="D82">
        <f>SUM(D76:D81)</f>
        <v>470572</v>
      </c>
      <c r="E82" s="5">
        <f t="shared" si="49"/>
        <v>538346</v>
      </c>
      <c r="F82">
        <f>SUM(F76:F81)</f>
        <v>13043243</v>
      </c>
      <c r="G82" s="5">
        <f t="shared" si="47"/>
        <v>519.61003869973138</v>
      </c>
      <c r="H82">
        <f t="shared" si="48"/>
        <v>3607.7837390593731</v>
      </c>
      <c r="I82">
        <f t="shared" si="50"/>
        <v>4.1273937777591051E-2</v>
      </c>
      <c r="J82" s="5">
        <f t="shared" si="51"/>
        <v>4127.3937777591054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Total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Carlos Soto</cp:lastModifiedBy>
  <dcterms:created xsi:type="dcterms:W3CDTF">2013-02-07T20:52:01Z</dcterms:created>
  <dcterms:modified xsi:type="dcterms:W3CDTF">2023-10-04T19:18:25Z</dcterms:modified>
</cp:coreProperties>
</file>