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isproportionality\For Web\"/>
    </mc:Choice>
  </mc:AlternateContent>
  <xr:revisionPtr revIDLastSave="0" documentId="13_ncr:1_{BEFF1E5B-04F0-4D76-B168-D217035BC83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5" i="1" l="1"/>
  <c r="P25" i="1"/>
  <c r="R23" i="1" l="1"/>
  <c r="R13" i="1" l="1"/>
  <c r="R17" i="1" s="1"/>
  <c r="R14" i="1"/>
  <c r="R15" i="1"/>
  <c r="R16" i="1"/>
  <c r="Q13" i="1"/>
  <c r="Q14" i="1"/>
  <c r="Q15" i="1"/>
  <c r="Q16" i="1"/>
  <c r="Q17" i="1" s="1"/>
  <c r="P13" i="1"/>
  <c r="R37" i="1"/>
  <c r="R29" i="1"/>
  <c r="R36" i="1" s="1"/>
  <c r="R30" i="1"/>
  <c r="R31" i="1"/>
  <c r="R32" i="1"/>
  <c r="R39" i="1" s="1"/>
  <c r="O21" i="1"/>
  <c r="R7" i="1"/>
  <c r="S21" i="1"/>
  <c r="Q23" i="1"/>
  <c r="Q31" i="1" s="1"/>
  <c r="Q29" i="1"/>
  <c r="Q30" i="1"/>
  <c r="Q32" i="1"/>
  <c r="Q7" i="1"/>
  <c r="P29" i="1"/>
  <c r="Q37" i="1" l="1"/>
  <c r="R38" i="1"/>
  <c r="Q39" i="1"/>
  <c r="Q38" i="1"/>
  <c r="Q36" i="1"/>
  <c r="R44" i="1"/>
  <c r="R43" i="1"/>
  <c r="Q43" i="1"/>
  <c r="P32" i="1"/>
  <c r="P31" i="1"/>
  <c r="P30" i="1"/>
  <c r="Q44" i="1" l="1"/>
  <c r="P7" i="1"/>
  <c r="P36" i="1" s="1"/>
  <c r="S22" i="1"/>
  <c r="N21" i="1"/>
  <c r="P16" i="1" l="1"/>
  <c r="P39" i="1" s="1"/>
  <c r="P15" i="1"/>
  <c r="P38" i="1" s="1"/>
  <c r="P14" i="1"/>
  <c r="P37" i="1" s="1"/>
  <c r="N24" i="1"/>
  <c r="O24" i="1" s="1"/>
  <c r="N22" i="1"/>
  <c r="O22" i="1" s="1"/>
  <c r="P17" i="1" l="1"/>
  <c r="P43" i="1"/>
  <c r="P44" i="1"/>
  <c r="N23" i="1"/>
  <c r="O23" i="1" s="1"/>
  <c r="N25" i="1" l="1"/>
  <c r="N32" i="1" s="1"/>
  <c r="O25" i="1"/>
  <c r="O29" i="1" s="1"/>
  <c r="O13" i="1"/>
  <c r="M10" i="1"/>
  <c r="O36" i="1" l="1"/>
  <c r="O16" i="1"/>
  <c r="O15" i="1"/>
  <c r="O14" i="1"/>
  <c r="M23" i="1"/>
  <c r="M25" i="1" s="1"/>
  <c r="M29" i="1" s="1"/>
  <c r="N29" i="1"/>
  <c r="N7" i="1"/>
  <c r="N13" i="1" s="1"/>
  <c r="N36" i="1" l="1"/>
  <c r="O17" i="1"/>
  <c r="N16" i="1"/>
  <c r="N15" i="1"/>
  <c r="N14" i="1"/>
  <c r="N17" i="1" s="1"/>
  <c r="N31" i="1"/>
  <c r="N30" i="1"/>
  <c r="M30" i="1"/>
  <c r="M7" i="1"/>
  <c r="N37" i="1" l="1"/>
  <c r="N38" i="1"/>
  <c r="M15" i="1"/>
  <c r="M13" i="1"/>
  <c r="M36" i="1" s="1"/>
  <c r="N39" i="1"/>
  <c r="N43" i="1" s="1"/>
  <c r="M32" i="1"/>
  <c r="N44" i="1"/>
  <c r="M31" i="1"/>
  <c r="M14" i="1"/>
  <c r="M37" i="1" s="1"/>
  <c r="M16" i="1"/>
  <c r="M38" i="1" l="1"/>
  <c r="M39" i="1"/>
  <c r="M44" i="1"/>
  <c r="M17" i="1"/>
  <c r="M43" i="1" l="1"/>
  <c r="L23" i="1" l="1"/>
  <c r="L25" i="1" s="1"/>
  <c r="L32" i="1" s="1"/>
  <c r="J23" i="1"/>
  <c r="K23" i="1"/>
  <c r="L7" i="1"/>
  <c r="L16" i="1" s="1"/>
  <c r="L14" i="1" l="1"/>
  <c r="L15" i="1"/>
  <c r="L13" i="1"/>
  <c r="L39" i="1"/>
  <c r="L29" i="1"/>
  <c r="L30" i="1"/>
  <c r="L31" i="1"/>
  <c r="L38" i="1" s="1"/>
  <c r="K25" i="1"/>
  <c r="K32" i="1" s="1"/>
  <c r="K7" i="1"/>
  <c r="K14" i="1" s="1"/>
  <c r="K30" i="1" l="1"/>
  <c r="K37" i="1" s="1"/>
  <c r="L17" i="1"/>
  <c r="L36" i="1"/>
  <c r="L43" i="1" s="1"/>
  <c r="K16" i="1"/>
  <c r="K39" i="1" s="1"/>
  <c r="K15" i="1"/>
  <c r="K13" i="1"/>
  <c r="K17" i="1" s="1"/>
  <c r="K31" i="1"/>
  <c r="K38" i="1" s="1"/>
  <c r="L37" i="1"/>
  <c r="K29" i="1"/>
  <c r="I23" i="1"/>
  <c r="K36" i="1" l="1"/>
  <c r="K44" i="1" s="1"/>
  <c r="L44" i="1"/>
  <c r="J25" i="1"/>
  <c r="J29" i="1" s="1"/>
  <c r="J7" i="1"/>
  <c r="J14" i="1" s="1"/>
  <c r="J15" i="1" l="1"/>
  <c r="J16" i="1"/>
  <c r="K43" i="1"/>
  <c r="J13" i="1"/>
  <c r="J30" i="1"/>
  <c r="J37" i="1" s="1"/>
  <c r="J31" i="1"/>
  <c r="J32" i="1"/>
  <c r="J39" i="1" s="1"/>
  <c r="J38" i="1" l="1"/>
  <c r="J17" i="1"/>
  <c r="J36" i="1"/>
  <c r="J43" i="1" s="1"/>
  <c r="I25" i="1"/>
  <c r="I30" i="1" s="1"/>
  <c r="I7" i="1"/>
  <c r="I14" i="1" s="1"/>
  <c r="I29" i="1" l="1"/>
  <c r="I32" i="1"/>
  <c r="I13" i="1"/>
  <c r="M9" i="1"/>
  <c r="I36" i="1"/>
  <c r="I37" i="1"/>
  <c r="J44" i="1"/>
  <c r="I31" i="1"/>
  <c r="I15" i="1"/>
  <c r="I16" i="1"/>
  <c r="I39" i="1" s="1"/>
  <c r="H24" i="1"/>
  <c r="H22" i="1"/>
  <c r="H23" i="1" s="1"/>
  <c r="G24" i="1"/>
  <c r="G22" i="1"/>
  <c r="G23" i="1"/>
  <c r="F24" i="1"/>
  <c r="F22" i="1"/>
  <c r="E24" i="1"/>
  <c r="E22" i="1"/>
  <c r="D24" i="1"/>
  <c r="D22" i="1"/>
  <c r="D23" i="1"/>
  <c r="C24" i="1"/>
  <c r="C22" i="1"/>
  <c r="C23" i="1"/>
  <c r="N76" i="1"/>
  <c r="N77" i="1"/>
  <c r="N78" i="1"/>
  <c r="N75" i="1"/>
  <c r="L76" i="1"/>
  <c r="L77" i="1"/>
  <c r="L78" i="1"/>
  <c r="L75" i="1"/>
  <c r="J76" i="1"/>
  <c r="J77" i="1"/>
  <c r="J78" i="1"/>
  <c r="J75" i="1"/>
  <c r="H76" i="1"/>
  <c r="H77" i="1"/>
  <c r="H78" i="1"/>
  <c r="H75" i="1"/>
  <c r="F76" i="1"/>
  <c r="F77" i="1"/>
  <c r="F78" i="1"/>
  <c r="F75" i="1"/>
  <c r="D76" i="1"/>
  <c r="D77" i="1"/>
  <c r="D78" i="1"/>
  <c r="D75" i="1"/>
  <c r="H17" i="1"/>
  <c r="G7" i="1"/>
  <c r="G17" i="1" s="1"/>
  <c r="H7" i="1"/>
  <c r="C7" i="1"/>
  <c r="D7" i="1"/>
  <c r="D17" i="1"/>
  <c r="E7" i="1"/>
  <c r="F7" i="1"/>
  <c r="C17" i="1"/>
  <c r="C43" i="1"/>
  <c r="F17" i="1"/>
  <c r="E17" i="1"/>
  <c r="I17" i="1" l="1"/>
  <c r="C25" i="1"/>
  <c r="C30" i="1" s="1"/>
  <c r="C37" i="1" s="1"/>
  <c r="I38" i="1"/>
  <c r="I44" i="1"/>
  <c r="C29" i="1"/>
  <c r="C36" i="1" s="1"/>
  <c r="C31" i="1"/>
  <c r="C38" i="1" s="1"/>
  <c r="F23" i="1"/>
  <c r="F25" i="1" s="1"/>
  <c r="F29" i="1" s="1"/>
  <c r="F36" i="1" s="1"/>
  <c r="G25" i="1"/>
  <c r="G29" i="1" s="1"/>
  <c r="G36" i="1" s="1"/>
  <c r="I43" i="1"/>
  <c r="E23" i="1"/>
  <c r="C32" i="1"/>
  <c r="C39" i="1" s="1"/>
  <c r="D25" i="1"/>
  <c r="H25" i="1"/>
  <c r="H31" i="1" s="1"/>
  <c r="H38" i="1" s="1"/>
  <c r="C44" i="1" l="1"/>
  <c r="G30" i="1"/>
  <c r="G37" i="1" s="1"/>
  <c r="G44" i="1" s="1"/>
  <c r="G31" i="1"/>
  <c r="G38" i="1" s="1"/>
  <c r="G32" i="1"/>
  <c r="G39" i="1" s="1"/>
  <c r="G43" i="1" s="1"/>
  <c r="F30" i="1"/>
  <c r="F37" i="1" s="1"/>
  <c r="F32" i="1"/>
  <c r="F39" i="1" s="1"/>
  <c r="F43" i="1" s="1"/>
  <c r="F31" i="1"/>
  <c r="F38" i="1" s="1"/>
  <c r="D29" i="1"/>
  <c r="D36" i="1" s="1"/>
  <c r="D32" i="1"/>
  <c r="D39" i="1" s="1"/>
  <c r="E25" i="1"/>
  <c r="D31" i="1"/>
  <c r="D38" i="1" s="1"/>
  <c r="H29" i="1"/>
  <c r="H36" i="1" s="1"/>
  <c r="H32" i="1"/>
  <c r="H39" i="1" s="1"/>
  <c r="F44" i="1"/>
  <c r="H30" i="1"/>
  <c r="H37" i="1" s="1"/>
  <c r="D30" i="1"/>
  <c r="D37" i="1" s="1"/>
  <c r="E29" i="1" l="1"/>
  <c r="E36" i="1" s="1"/>
  <c r="E30" i="1"/>
  <c r="E37" i="1" s="1"/>
  <c r="E32" i="1"/>
  <c r="E39" i="1" s="1"/>
  <c r="H43" i="1"/>
  <c r="H44" i="1"/>
  <c r="E31" i="1"/>
  <c r="E38" i="1" s="1"/>
  <c r="D43" i="1"/>
  <c r="D44" i="1"/>
  <c r="E44" i="1" l="1"/>
  <c r="E43" i="1"/>
  <c r="O32" i="1"/>
  <c r="O39" i="1" s="1"/>
  <c r="O43" i="1" s="1"/>
  <c r="O30" i="1"/>
  <c r="O37" i="1" s="1"/>
  <c r="O31" i="1"/>
  <c r="O38" i="1" s="1"/>
  <c r="O44" i="1" l="1"/>
</calcChain>
</file>

<file path=xl/sharedStrings.xml><?xml version="1.0" encoding="utf-8"?>
<sst xmlns="http://schemas.openxmlformats.org/spreadsheetml/2006/main" count="100" uniqueCount="53">
  <si>
    <t>Unduplicated Individuals Booked into Travis County Jail</t>
  </si>
  <si>
    <t xml:space="preserve">Black </t>
  </si>
  <si>
    <t>Hispanic</t>
  </si>
  <si>
    <t>Other</t>
  </si>
  <si>
    <t>White</t>
  </si>
  <si>
    <t>Total</t>
  </si>
  <si>
    <t>Population 18 and Older</t>
  </si>
  <si>
    <t>% of population 18 and older</t>
  </si>
  <si>
    <t>Black</t>
  </si>
  <si>
    <t xml:space="preserve">Other </t>
  </si>
  <si>
    <t>Disproportionality Ratios</t>
  </si>
  <si>
    <t>Disparity Ratios</t>
  </si>
  <si>
    <t>Black vs. White</t>
  </si>
  <si>
    <t>Black vs. Hispanic</t>
  </si>
  <si>
    <t>Data Sources</t>
  </si>
  <si>
    <t>American Community Survey - 1 Year Estimates</t>
  </si>
  <si>
    <t>(Other -  C05003 - Sex by Age by Nativity - Population 18 Years and Over)- Then Subtract Total of Other Races/Ethnicities</t>
  </si>
  <si>
    <t>Travis County Jail Bookings</t>
  </si>
  <si>
    <t>Local data is available from the Travis County Sheriff's Office. Contact Karen Maxwell, Senior Planner, for the latest data: karen.maxwell@traviscountytx.gov</t>
  </si>
  <si>
    <t>Ind</t>
  </si>
  <si>
    <t>%</t>
  </si>
  <si>
    <t>B</t>
  </si>
  <si>
    <t>   9,194</t>
  </si>
  <si>
    <t>   9,287</t>
  </si>
  <si>
    <t>   9,030</t>
  </si>
  <si>
    <t>   8,719</t>
  </si>
  <si>
    <t>   8,613</t>
  </si>
  <si>
    <t>H</t>
  </si>
  <si>
    <t>O</t>
  </si>
  <si>
    <t>      341</t>
  </si>
  <si>
    <t>      397</t>
  </si>
  <si>
    <t>      435</t>
  </si>
  <si>
    <t>      444</t>
  </si>
  <si>
    <t>      454</t>
  </si>
  <si>
    <t>      513</t>
  </si>
  <si>
    <t>W</t>
  </si>
  <si>
    <t> 44,297</t>
  </si>
  <si>
    <t> 44,242</t>
  </si>
  <si>
    <t> 42,108</t>
  </si>
  <si>
    <t> 42,136</t>
  </si>
  <si>
    <t> 41,140</t>
  </si>
  <si>
    <t>% of total unduplicated individuals booked</t>
  </si>
  <si>
    <t>Travis County Population 18 and Older</t>
  </si>
  <si>
    <t>% change total:</t>
  </si>
  <si>
    <t>% change black:</t>
  </si>
  <si>
    <t>Hispanic - B01001I - Sex by Age (Hispanic or Latino)</t>
  </si>
  <si>
    <t>White - B01001H - Sex by Age (White Alone, Not Hispanic or Latino)</t>
  </si>
  <si>
    <t>Black - B01001B - Sex by Age - (Black or African American Alone)</t>
  </si>
  <si>
    <t>2020*</t>
  </si>
  <si>
    <t xml:space="preserve"> </t>
  </si>
  <si>
    <t>For more information please read the announcement, available at https://www.census.gov/newsroom/press-releases/2021/changes-2020-acs-1-year.html</t>
  </si>
  <si>
    <t>* The US Census Bureau did not release 2020 ACS 1-Year Data. To estimate the 2020 population, the median between the 2019 and 2021 population was used.</t>
  </si>
  <si>
    <t>Travis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</si>
</sst>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"/>
    <numFmt numFmtId="167" formatCode="0.0%"/>
    <numFmt numFmtId="168" formatCode="0.00000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</font>
    <font>
      <sz val="11"/>
      <color rgb="FF212121"/>
      <name val="Segoe UI"/>
      <family val="2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9" fontId="0" fillId="0" borderId="0" xfId="0" applyNumberFormat="1"/>
    <xf numFmtId="164" fontId="1" fillId="0" borderId="0" xfId="1" applyNumberFormat="1" applyFont="1" applyBorder="1" applyAlignment="1">
      <alignment vertical="top"/>
    </xf>
    <xf numFmtId="164" fontId="1" fillId="0" borderId="1" xfId="1" applyNumberFormat="1" applyFont="1" applyBorder="1" applyAlignment="1">
      <alignment vertical="top"/>
    </xf>
    <xf numFmtId="0" fontId="3" fillId="0" borderId="0" xfId="0" applyFont="1"/>
    <xf numFmtId="22" fontId="0" fillId="0" borderId="0" xfId="0" applyNumberFormat="1"/>
    <xf numFmtId="165" fontId="0" fillId="0" borderId="0" xfId="0" applyNumberFormat="1"/>
    <xf numFmtId="0" fontId="4" fillId="0" borderId="0" xfId="0" applyFont="1"/>
    <xf numFmtId="0" fontId="3" fillId="0" borderId="2" xfId="0" applyFont="1" applyBorder="1"/>
    <xf numFmtId="9" fontId="0" fillId="0" borderId="2" xfId="0" applyNumberFormat="1" applyBorder="1"/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9" fontId="5" fillId="3" borderId="9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vertical="center"/>
    </xf>
    <xf numFmtId="9" fontId="5" fillId="3" borderId="10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center"/>
    </xf>
    <xf numFmtId="164" fontId="2" fillId="0" borderId="0" xfId="1" applyNumberFormat="1" applyFont="1"/>
    <xf numFmtId="164" fontId="5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/>
    </xf>
    <xf numFmtId="164" fontId="2" fillId="0" borderId="2" xfId="1" applyNumberFormat="1" applyFont="1" applyBorder="1"/>
    <xf numFmtId="164" fontId="2" fillId="0" borderId="0" xfId="1" applyNumberFormat="1" applyFont="1" applyBorder="1"/>
    <xf numFmtId="10" fontId="0" fillId="0" borderId="0" xfId="0" applyNumberFormat="1"/>
    <xf numFmtId="10" fontId="5" fillId="3" borderId="9" xfId="0" applyNumberFormat="1" applyFont="1" applyFill="1" applyBorder="1" applyAlignment="1">
      <alignment horizontal="right" vertical="center"/>
    </xf>
    <xf numFmtId="10" fontId="2" fillId="0" borderId="0" xfId="2" applyNumberFormat="1" applyFont="1"/>
    <xf numFmtId="9" fontId="0" fillId="0" borderId="0" xfId="2" applyFont="1"/>
    <xf numFmtId="10" fontId="0" fillId="0" borderId="0" xfId="2" applyNumberFormat="1" applyFont="1"/>
    <xf numFmtId="3" fontId="0" fillId="0" borderId="0" xfId="0" applyNumberFormat="1"/>
    <xf numFmtId="166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164" fontId="2" fillId="0" borderId="2" xfId="1" applyNumberFormat="1" applyFont="1" applyFill="1" applyBorder="1"/>
    <xf numFmtId="9" fontId="2" fillId="0" borderId="2" xfId="2" applyFont="1" applyBorder="1"/>
    <xf numFmtId="0" fontId="0" fillId="0" borderId="1" xfId="0" applyBorder="1"/>
    <xf numFmtId="0" fontId="3" fillId="0" borderId="1" xfId="0" applyFont="1" applyBorder="1"/>
    <xf numFmtId="167" fontId="0" fillId="0" borderId="0" xfId="2" applyNumberFormat="1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5" fillId="2" borderId="0" xfId="0" applyFont="1" applyFill="1" applyAlignment="1">
      <alignment horizontal="center" vertical="center"/>
    </xf>
    <xf numFmtId="9" fontId="5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8" fillId="0" borderId="0" xfId="0" applyFont="1"/>
    <xf numFmtId="164" fontId="9" fillId="0" borderId="0" xfId="1" applyNumberFormat="1" applyFont="1"/>
    <xf numFmtId="164" fontId="2" fillId="0" borderId="0" xfId="1" applyNumberFormat="1" applyFont="1" applyAlignment="1">
      <alignment wrapText="1"/>
    </xf>
    <xf numFmtId="0" fontId="3" fillId="0" borderId="1" xfId="0" applyFont="1" applyBorder="1" applyAlignment="1">
      <alignment horizontal="right"/>
    </xf>
    <xf numFmtId="168" fontId="0" fillId="0" borderId="0" xfId="0" applyNumberFormat="1"/>
    <xf numFmtId="0" fontId="10" fillId="0" borderId="0" xfId="0" applyFont="1"/>
    <xf numFmtId="164" fontId="2" fillId="0" borderId="1" xfId="1" applyNumberFormat="1" applyFont="1" applyBorder="1"/>
    <xf numFmtId="164" fontId="9" fillId="0" borderId="1" xfId="1" applyNumberFormat="1" applyFont="1" applyBorder="1"/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Bookings into the Travis County Jail</a:t>
            </a:r>
          </a:p>
        </c:rich>
      </c:tx>
      <c:layout>
        <c:manualLayout>
          <c:xMode val="edge"/>
          <c:yMode val="edge"/>
          <c:x val="0.13077243844125599"/>
          <c:y val="1.2578612199405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Sheet1!$N$36:$R$36</c:f>
              <c:numCache>
                <c:formatCode>0.000</c:formatCode>
                <c:ptCount val="5"/>
                <c:pt idx="0" formatCode="0.00000">
                  <c:v>2.81727452614397</c:v>
                </c:pt>
                <c:pt idx="1">
                  <c:v>2.9468540815767734</c:v>
                </c:pt>
                <c:pt idx="2">
                  <c:v>3.0544723979117543</c:v>
                </c:pt>
                <c:pt idx="3">
                  <c:v>3.4053548390697808</c:v>
                </c:pt>
                <c:pt idx="4">
                  <c:v>3.3885299992450739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9-4F3B-B878-332773F4F43E}"/>
            </c:ext>
          </c:extLst>
        </c:ser>
        <c:ser>
          <c:idx val="1"/>
          <c:order val="1"/>
          <c:tx>
            <c:strRef>
              <c:f>Sheet1!$B$37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Sheet1!$N$37:$R$37</c:f>
              <c:numCache>
                <c:formatCode>0.000</c:formatCode>
                <c:ptCount val="5"/>
                <c:pt idx="0" formatCode="0.00000">
                  <c:v>1.0826772331630372</c:v>
                </c:pt>
                <c:pt idx="1">
                  <c:v>1.2476548775139842</c:v>
                </c:pt>
                <c:pt idx="2">
                  <c:v>1.3363108509820789</c:v>
                </c:pt>
                <c:pt idx="3">
                  <c:v>1.3240000190402992</c:v>
                </c:pt>
                <c:pt idx="4">
                  <c:v>1.3555480779724396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9-4F3B-B878-332773F4F43E}"/>
            </c:ext>
          </c:extLst>
        </c:ser>
        <c:ser>
          <c:idx val="2"/>
          <c:order val="2"/>
          <c:tx>
            <c:strRef>
              <c:f>Sheet1!$B$38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Sheet1!$N$38:$R$38</c:f>
              <c:numCache>
                <c:formatCode>0.000</c:formatCode>
                <c:ptCount val="5"/>
                <c:pt idx="0" formatCode="0.00000">
                  <c:v>0.14840749413809484</c:v>
                </c:pt>
                <c:pt idx="1">
                  <c:v>0.11849806465393781</c:v>
                </c:pt>
                <c:pt idx="2">
                  <c:v>0.11992081485757487</c:v>
                </c:pt>
                <c:pt idx="3">
                  <c:v>0.11526341347756813</c:v>
                </c:pt>
                <c:pt idx="4">
                  <c:v>0.11199797869664414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89-4F3B-B878-332773F4F43E}"/>
            </c:ext>
          </c:extLst>
        </c:ser>
        <c:ser>
          <c:idx val="3"/>
          <c:order val="3"/>
          <c:tx>
            <c:strRef>
              <c:f>Sheet1!$B$39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Sheet1!$N$39:$R$39</c:f>
              <c:numCache>
                <c:formatCode>0.000</c:formatCode>
                <c:ptCount val="5"/>
                <c:pt idx="0" formatCode="0.00000">
                  <c:v>0.81321393917402296</c:v>
                </c:pt>
                <c:pt idx="1">
                  <c:v>0.723756688837911</c:v>
                </c:pt>
                <c:pt idx="2">
                  <c:v>0.67480936886600296</c:v>
                </c:pt>
                <c:pt idx="3">
                  <c:v>0.64611675084583964</c:v>
                </c:pt>
                <c:pt idx="4">
                  <c:v>0.60967837217500775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89-4F3B-B878-332773F4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291000"/>
        <c:axId val="238291784"/>
      </c:barChart>
      <c:catAx>
        <c:axId val="23829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8291784"/>
        <c:crosses val="autoZero"/>
        <c:auto val="1"/>
        <c:lblAlgn val="ctr"/>
        <c:lblOffset val="100"/>
        <c:noMultiLvlLbl val="0"/>
      </c:catAx>
      <c:valAx>
        <c:axId val="238291784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38291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/>
              <a:t>Disproportionality Ratios for Bookings into the Travis County Jail</a:t>
            </a:r>
          </a:p>
        </c:rich>
      </c:tx>
      <c:layout>
        <c:manualLayout>
          <c:xMode val="edge"/>
          <c:yMode val="edge"/>
          <c:x val="0.13077243844125599"/>
          <c:y val="1.2578612199405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8338294603419"/>
          <c:y val="0.27616139846743293"/>
          <c:w val="0.83473802626805793"/>
          <c:h val="0.47867689760762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Sheet1!$B$36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Sheet1!$N$36:$R$36</c:f>
              <c:numCache>
                <c:formatCode>0.000</c:formatCode>
                <c:ptCount val="5"/>
                <c:pt idx="0" formatCode="0.00000">
                  <c:v>2.81727452614397</c:v>
                </c:pt>
                <c:pt idx="1">
                  <c:v>2.9468540815767734</c:v>
                </c:pt>
                <c:pt idx="2">
                  <c:v>3.0544723979117543</c:v>
                </c:pt>
                <c:pt idx="3">
                  <c:v>3.4053548390697808</c:v>
                </c:pt>
                <c:pt idx="4">
                  <c:v>3.3885299992450739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9-4C2F-939A-C2DF946AA1A3}"/>
            </c:ext>
          </c:extLst>
        </c:ser>
        <c:ser>
          <c:idx val="1"/>
          <c:order val="1"/>
          <c:tx>
            <c:strRef>
              <c:f>Sheet1!$B$37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Sheet1!$N$37:$R$37</c:f>
              <c:numCache>
                <c:formatCode>0.000</c:formatCode>
                <c:ptCount val="5"/>
                <c:pt idx="0" formatCode="0.00000">
                  <c:v>1.0826772331630372</c:v>
                </c:pt>
                <c:pt idx="1">
                  <c:v>1.2476548775139842</c:v>
                </c:pt>
                <c:pt idx="2">
                  <c:v>1.3363108509820789</c:v>
                </c:pt>
                <c:pt idx="3">
                  <c:v>1.3240000190402992</c:v>
                </c:pt>
                <c:pt idx="4">
                  <c:v>1.3555480779724396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9-4C2F-939A-C2DF946AA1A3}"/>
            </c:ext>
          </c:extLst>
        </c:ser>
        <c:ser>
          <c:idx val="2"/>
          <c:order val="2"/>
          <c:tx>
            <c:strRef>
              <c:f>Sheet1!$B$38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Sheet1!$N$38:$R$38</c:f>
              <c:numCache>
                <c:formatCode>0.000</c:formatCode>
                <c:ptCount val="5"/>
                <c:pt idx="0" formatCode="0.00000">
                  <c:v>0.14840749413809484</c:v>
                </c:pt>
                <c:pt idx="1">
                  <c:v>0.11849806465393781</c:v>
                </c:pt>
                <c:pt idx="2">
                  <c:v>0.11992081485757487</c:v>
                </c:pt>
                <c:pt idx="3">
                  <c:v>0.11526341347756813</c:v>
                </c:pt>
                <c:pt idx="4">
                  <c:v>0.11199797869664414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9-4C2F-939A-C2DF946AA1A3}"/>
            </c:ext>
          </c:extLst>
        </c:ser>
        <c:ser>
          <c:idx val="3"/>
          <c:order val="3"/>
          <c:tx>
            <c:strRef>
              <c:f>Sheet1!$B$39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Sheet1!$N$39:$R$39</c:f>
              <c:numCache>
                <c:formatCode>0.000</c:formatCode>
                <c:ptCount val="5"/>
                <c:pt idx="0" formatCode="0.00000">
                  <c:v>0.81321393917402296</c:v>
                </c:pt>
                <c:pt idx="1">
                  <c:v>0.723756688837911</c:v>
                </c:pt>
                <c:pt idx="2">
                  <c:v>0.67480936886600296</c:v>
                </c:pt>
                <c:pt idx="3">
                  <c:v>0.64611675084583964</c:v>
                </c:pt>
                <c:pt idx="4">
                  <c:v>0.60967837217500775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F9-4C2F-939A-C2DF946A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429744"/>
        <c:axId val="324427784"/>
      </c:barChart>
      <c:catAx>
        <c:axId val="32442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24427784"/>
        <c:crosses val="autoZero"/>
        <c:auto val="1"/>
        <c:lblAlgn val="ctr"/>
        <c:lblOffset val="100"/>
        <c:noMultiLvlLbl val="0"/>
      </c:catAx>
      <c:valAx>
        <c:axId val="324427784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3244297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Bookings into the Travis County Jail</a:t>
            </a:r>
          </a:p>
        </c:rich>
      </c:tx>
      <c:layout>
        <c:manualLayout>
          <c:xMode val="edge"/>
          <c:yMode val="edge"/>
          <c:x val="0.13077243844125599"/>
          <c:y val="1.2578612199405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Sheet1!$I$35:$M$35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Sheet1!$I$36:$M$36</c:f>
              <c:numCache>
                <c:formatCode>0.000</c:formatCode>
                <c:ptCount val="5"/>
                <c:pt idx="0">
                  <c:v>2.5761152237159926</c:v>
                </c:pt>
                <c:pt idx="1">
                  <c:v>2.5832194368417438</c:v>
                </c:pt>
                <c:pt idx="2">
                  <c:v>2.7367161862181506</c:v>
                </c:pt>
                <c:pt idx="3">
                  <c:v>2.7725620710801064</c:v>
                </c:pt>
                <c:pt idx="4" formatCode="0.00000">
                  <c:v>2.8173918566850582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7-48E5-997A-B111F10D3FD6}"/>
            </c:ext>
          </c:extLst>
        </c:ser>
        <c:ser>
          <c:idx val="1"/>
          <c:order val="1"/>
          <c:tx>
            <c:strRef>
              <c:f>Sheet1!$B$37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Sheet1!$I$35:$M$35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Sheet1!$I$37:$M$37</c:f>
              <c:numCache>
                <c:formatCode>0.000</c:formatCode>
                <c:ptCount val="5"/>
                <c:pt idx="0">
                  <c:v>1.1335187063437331</c:v>
                </c:pt>
                <c:pt idx="1">
                  <c:v>1.0693648435446794</c:v>
                </c:pt>
                <c:pt idx="2">
                  <c:v>1.0815522105734632</c:v>
                </c:pt>
                <c:pt idx="3">
                  <c:v>1.1139304504121126</c:v>
                </c:pt>
                <c:pt idx="4" formatCode="0.00000">
                  <c:v>1.0931795966502074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7-48E5-997A-B111F10D3FD6}"/>
            </c:ext>
          </c:extLst>
        </c:ser>
        <c:ser>
          <c:idx val="2"/>
          <c:order val="2"/>
          <c:tx>
            <c:strRef>
              <c:f>Sheet1!$B$38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Sheet1!$I$35:$M$35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Sheet1!$I$38:$M$38</c:f>
              <c:numCache>
                <c:formatCode>0.000</c:formatCode>
                <c:ptCount val="5"/>
                <c:pt idx="0">
                  <c:v>0.16547066075824646</c:v>
                </c:pt>
                <c:pt idx="1">
                  <c:v>0.17180497424728455</c:v>
                </c:pt>
                <c:pt idx="2">
                  <c:v>0.16059317634528711</c:v>
                </c:pt>
                <c:pt idx="3">
                  <c:v>0.15585908989894007</c:v>
                </c:pt>
                <c:pt idx="4" formatCode="0.00000">
                  <c:v>0.14160542893907863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7-48E5-997A-B111F10D3FD6}"/>
            </c:ext>
          </c:extLst>
        </c:ser>
        <c:ser>
          <c:idx val="3"/>
          <c:order val="3"/>
          <c:tx>
            <c:strRef>
              <c:f>Sheet1!$B$39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Sheet1!$I$35:$M$35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Sheet1!$I$39:$M$39</c:f>
              <c:numCache>
                <c:formatCode>0.000</c:formatCode>
                <c:ptCount val="5"/>
                <c:pt idx="0">
                  <c:v>0.81200137623072477</c:v>
                </c:pt>
                <c:pt idx="1">
                  <c:v>0.83872989954749766</c:v>
                </c:pt>
                <c:pt idx="2">
                  <c:v>0.82719971789078373</c:v>
                </c:pt>
                <c:pt idx="3">
                  <c:v>0.79753040634917927</c:v>
                </c:pt>
                <c:pt idx="4" formatCode="0.00000">
                  <c:v>0.81610400639871472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97-48E5-997A-B111F10D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947296"/>
        <c:axId val="282947688"/>
      </c:barChart>
      <c:catAx>
        <c:axId val="28294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82947688"/>
        <c:crosses val="autoZero"/>
        <c:auto val="1"/>
        <c:lblAlgn val="ctr"/>
        <c:lblOffset val="100"/>
        <c:noMultiLvlLbl val="0"/>
      </c:catAx>
      <c:valAx>
        <c:axId val="282947688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8294729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Arrest Disproportionality, 5-year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Sheet1!$N$35:$R$35</c:f>
              <c:strCache>
                <c:ptCount val="5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Sheet1!$N$36:$R$36</c:f>
              <c:numCache>
                <c:formatCode>0.000</c:formatCode>
                <c:ptCount val="5"/>
                <c:pt idx="0" formatCode="0.00000">
                  <c:v>2.81727452614397</c:v>
                </c:pt>
                <c:pt idx="1">
                  <c:v>2.9468540815767734</c:v>
                </c:pt>
                <c:pt idx="2">
                  <c:v>3.0544723979117543</c:v>
                </c:pt>
                <c:pt idx="3">
                  <c:v>3.4053548390697808</c:v>
                </c:pt>
                <c:pt idx="4">
                  <c:v>3.3885299992450739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7-4434-A95B-7AC1F1CBC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089720"/>
        <c:axId val="496091640"/>
      </c:lineChart>
      <c:catAx>
        <c:axId val="49608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091640"/>
        <c:crosses val="autoZero"/>
        <c:auto val="1"/>
        <c:lblAlgn val="ctr"/>
        <c:lblOffset val="100"/>
        <c:noMultiLvlLbl val="0"/>
      </c:catAx>
      <c:valAx>
        <c:axId val="49609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08972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Population Age 18 and up, Travis County,</a:t>
            </a:r>
          </a:p>
          <a:p>
            <a:pPr>
              <a:defRPr/>
            </a:pPr>
            <a:r>
              <a:rPr lang="en-US"/>
              <a:t> ACS 1-Year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Sheet1!$B$21</c:f>
              <c:strCache>
                <c:ptCount val="1"/>
                <c:pt idx="0">
                  <c:v>Black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7"/>
            <c:dispRSqr val="0"/>
            <c:dispEq val="0"/>
          </c:trendline>
          <c:cat>
            <c:strRef>
              <c:f>Sheet1!$C$20:$Y$20</c:f>
              <c:strCach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strCache>
            </c:strRef>
          </c:cat>
          <c:val>
            <c:numRef>
              <c:f>Sheet1!$C$21:$R$21</c:f>
              <c:numCache>
                <c:formatCode>_(* #,##0_);_(* \(#,##0\);_(* "-"??_);_(@_)</c:formatCode>
                <c:ptCount val="16"/>
                <c:pt idx="0">
                  <c:v>58264</c:v>
                </c:pt>
                <c:pt idx="1">
                  <c:v>61449</c:v>
                </c:pt>
                <c:pt idx="2">
                  <c:v>61198</c:v>
                </c:pt>
                <c:pt idx="3">
                  <c:v>62799</c:v>
                </c:pt>
                <c:pt idx="4">
                  <c:v>65559</c:v>
                </c:pt>
                <c:pt idx="5">
                  <c:v>67949</c:v>
                </c:pt>
                <c:pt idx="6">
                  <c:v>72485</c:v>
                </c:pt>
                <c:pt idx="7">
                  <c:v>76259</c:v>
                </c:pt>
                <c:pt idx="8">
                  <c:v>75042</c:v>
                </c:pt>
                <c:pt idx="9">
                  <c:v>78916</c:v>
                </c:pt>
                <c:pt idx="10">
                  <c:v>79120</c:v>
                </c:pt>
                <c:pt idx="11">
                  <c:v>83371</c:v>
                </c:pt>
                <c:pt idx="12">
                  <c:v>82488</c:v>
                </c:pt>
                <c:pt idx="13">
                  <c:v>81605</c:v>
                </c:pt>
                <c:pt idx="14">
                  <c:v>84827</c:v>
                </c:pt>
                <c:pt idx="15">
                  <c:v>88536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2-4461-8875-847CEE323938}"/>
            </c:ext>
          </c:extLst>
        </c:ser>
        <c:ser>
          <c:idx val="1"/>
          <c:order val="1"/>
          <c:tx>
            <c:strRef>
              <c:f>Sheet1!$B$22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7"/>
            <c:dispRSqr val="0"/>
            <c:dispEq val="0"/>
          </c:trendline>
          <c:cat>
            <c:strRef>
              <c:f>Sheet1!$C$20:$Y$20</c:f>
              <c:strCach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strCache>
            </c:strRef>
          </c:cat>
          <c:val>
            <c:numRef>
              <c:f>Sheet1!$C$22:$R$22</c:f>
              <c:numCache>
                <c:formatCode>_(* #,##0_);_(* \(#,##0\);_(* "-"??_);_(@_)</c:formatCode>
                <c:ptCount val="16"/>
                <c:pt idx="0">
                  <c:v>216039</c:v>
                </c:pt>
                <c:pt idx="1">
                  <c:v>228440</c:v>
                </c:pt>
                <c:pt idx="2">
                  <c:v>230649</c:v>
                </c:pt>
                <c:pt idx="3">
                  <c:v>239798</c:v>
                </c:pt>
                <c:pt idx="4">
                  <c:v>247605</c:v>
                </c:pt>
                <c:pt idx="5">
                  <c:v>256112</c:v>
                </c:pt>
                <c:pt idx="6">
                  <c:v>264791</c:v>
                </c:pt>
                <c:pt idx="7">
                  <c:v>272445</c:v>
                </c:pt>
                <c:pt idx="8">
                  <c:v>279017</c:v>
                </c:pt>
                <c:pt idx="9">
                  <c:v>289207</c:v>
                </c:pt>
                <c:pt idx="10">
                  <c:v>296980</c:v>
                </c:pt>
                <c:pt idx="11">
                  <c:v>304326</c:v>
                </c:pt>
                <c:pt idx="12">
                  <c:v>309594</c:v>
                </c:pt>
                <c:pt idx="13">
                  <c:v>314862</c:v>
                </c:pt>
                <c:pt idx="14">
                  <c:v>321371</c:v>
                </c:pt>
                <c:pt idx="15">
                  <c:v>318808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2-4461-8875-847CEE323938}"/>
            </c:ext>
          </c:extLst>
        </c:ser>
        <c:ser>
          <c:idx val="2"/>
          <c:order val="2"/>
          <c:tx>
            <c:strRef>
              <c:f>Sheet1!$B$23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forward val="5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forward val="7"/>
            <c:dispRSqr val="0"/>
            <c:dispEq val="0"/>
          </c:trendline>
          <c:cat>
            <c:strRef>
              <c:f>Sheet1!$C$20:$Y$20</c:f>
              <c:strCach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strCache>
            </c:strRef>
          </c:cat>
          <c:val>
            <c:numRef>
              <c:f>Sheet1!$C$23:$R$23</c:f>
              <c:numCache>
                <c:formatCode>_(* #,##0_);_(* \(#,##0\);_(* "-"??_);_(@_)</c:formatCode>
                <c:ptCount val="16"/>
                <c:pt idx="0">
                  <c:v>57290</c:v>
                </c:pt>
                <c:pt idx="1">
                  <c:v>53191</c:v>
                </c:pt>
                <c:pt idx="2">
                  <c:v>60802</c:v>
                </c:pt>
                <c:pt idx="3">
                  <c:v>63032</c:v>
                </c:pt>
                <c:pt idx="4">
                  <c:v>67147</c:v>
                </c:pt>
                <c:pt idx="5">
                  <c:v>68957</c:v>
                </c:pt>
                <c:pt idx="6">
                  <c:v>71848</c:v>
                </c:pt>
                <c:pt idx="7">
                  <c:v>73975</c:v>
                </c:pt>
                <c:pt idx="8">
                  <c:v>80478</c:v>
                </c:pt>
                <c:pt idx="9">
                  <c:v>84075</c:v>
                </c:pt>
                <c:pt idx="10">
                  <c:v>90051</c:v>
                </c:pt>
                <c:pt idx="11">
                  <c:v>92583</c:v>
                </c:pt>
                <c:pt idx="12">
                  <c:v>105544</c:v>
                </c:pt>
                <c:pt idx="13">
                  <c:v>118505</c:v>
                </c:pt>
                <c:pt idx="14">
                  <c:v>126095</c:v>
                </c:pt>
                <c:pt idx="15">
                  <c:v>131389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E2-4461-8875-847CEE323938}"/>
            </c:ext>
          </c:extLst>
        </c:ser>
        <c:ser>
          <c:idx val="3"/>
          <c:order val="3"/>
          <c:tx>
            <c:strRef>
              <c:f>Sheet1!$B$24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og"/>
            <c:forward val="7"/>
            <c:dispRSqr val="0"/>
            <c:dispEq val="0"/>
          </c:trendline>
          <c:cat>
            <c:strRef>
              <c:f>Sheet1!$C$20:$Y$20</c:f>
              <c:strCache>
                <c:ptCount val="2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2020*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  <c:pt idx="19">
                  <c:v>2027</c:v>
                </c:pt>
                <c:pt idx="20">
                  <c:v>2028</c:v>
                </c:pt>
                <c:pt idx="21">
                  <c:v>2029</c:v>
                </c:pt>
                <c:pt idx="22">
                  <c:v>2030</c:v>
                </c:pt>
              </c:strCache>
            </c:strRef>
          </c:cat>
          <c:val>
            <c:numRef>
              <c:f>Sheet1!$C$24:$R$24</c:f>
              <c:numCache>
                <c:formatCode>_(* #,##0_);_(* \(#,##0\);_(* "-"??_);_(@_)</c:formatCode>
                <c:ptCount val="16"/>
                <c:pt idx="0">
                  <c:v>415260</c:v>
                </c:pt>
                <c:pt idx="1">
                  <c:v>434429</c:v>
                </c:pt>
                <c:pt idx="2">
                  <c:v>431598</c:v>
                </c:pt>
                <c:pt idx="3">
                  <c:v>443391</c:v>
                </c:pt>
                <c:pt idx="4">
                  <c:v>455165</c:v>
                </c:pt>
                <c:pt idx="5">
                  <c:v>466532</c:v>
                </c:pt>
                <c:pt idx="6">
                  <c:v>476812</c:v>
                </c:pt>
                <c:pt idx="7">
                  <c:v>485937</c:v>
                </c:pt>
                <c:pt idx="8">
                  <c:v>494949</c:v>
                </c:pt>
                <c:pt idx="9">
                  <c:v>503097</c:v>
                </c:pt>
                <c:pt idx="10">
                  <c:v>512057</c:v>
                </c:pt>
                <c:pt idx="11">
                  <c:v>523732</c:v>
                </c:pt>
                <c:pt idx="12">
                  <c:v>522102.5</c:v>
                </c:pt>
                <c:pt idx="13">
                  <c:v>520473</c:v>
                </c:pt>
                <c:pt idx="14">
                  <c:v>530093</c:v>
                </c:pt>
                <c:pt idx="15">
                  <c:v>533275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E2-4461-8875-847CEE323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041936"/>
        <c:axId val="516042576"/>
      </c:lineChart>
      <c:catAx>
        <c:axId val="51604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16042576"/>
        <c:crosses val="autoZero"/>
        <c:auto val="1"/>
        <c:lblAlgn val="ctr"/>
        <c:lblOffset val="100"/>
        <c:noMultiLvlLbl val="0"/>
      </c:catAx>
      <c:valAx>
        <c:axId val="51604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516041936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African</a:t>
            </a:r>
            <a:r>
              <a:rPr lang="en-US" baseline="0"/>
              <a:t> American Disproportionality Ratio for Bookings into Travis County Jail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Sheet1!$H$35:$R$35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Sheet1!$H$36:$R$36</c:f>
              <c:numCache>
                <c:formatCode>0.000</c:formatCode>
                <c:ptCount val="11"/>
                <c:pt idx="0">
                  <c:v>2.6483674095615752</c:v>
                </c:pt>
                <c:pt idx="1">
                  <c:v>2.5761152237159926</c:v>
                </c:pt>
                <c:pt idx="2">
                  <c:v>2.5832194368417438</c:v>
                </c:pt>
                <c:pt idx="3">
                  <c:v>2.7367161862181506</c:v>
                </c:pt>
                <c:pt idx="4">
                  <c:v>2.7725620710801064</c:v>
                </c:pt>
                <c:pt idx="5" formatCode="0.00000">
                  <c:v>2.8173918566850582</c:v>
                </c:pt>
                <c:pt idx="6" formatCode="0.00000">
                  <c:v>2.81727452614397</c:v>
                </c:pt>
                <c:pt idx="7">
                  <c:v>2.9468540815767734</c:v>
                </c:pt>
                <c:pt idx="8">
                  <c:v>3.0544723979117543</c:v>
                </c:pt>
                <c:pt idx="9">
                  <c:v>3.4053548390697808</c:v>
                </c:pt>
                <c:pt idx="10">
                  <c:v>3.3885299992450739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C-4E7D-A519-37FB0CA43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6089720"/>
        <c:axId val="496091640"/>
      </c:lineChart>
      <c:catAx>
        <c:axId val="49608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091640"/>
        <c:crosses val="autoZero"/>
        <c:auto val="1"/>
        <c:lblAlgn val="ctr"/>
        <c:lblOffset val="100"/>
        <c:noMultiLvlLbl val="0"/>
      </c:catAx>
      <c:valAx>
        <c:axId val="49609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08972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428391</xdr:colOff>
      <xdr:row>1</xdr:row>
      <xdr:rowOff>105725</xdr:rowOff>
    </xdr:from>
    <xdr:to>
      <xdr:col>26</xdr:col>
      <xdr:colOff>516358</xdr:colOff>
      <xdr:row>17</xdr:row>
      <xdr:rowOff>86676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19333</xdr:colOff>
      <xdr:row>1</xdr:row>
      <xdr:rowOff>8786</xdr:rowOff>
    </xdr:from>
    <xdr:to>
      <xdr:col>32</xdr:col>
      <xdr:colOff>588317</xdr:colOff>
      <xdr:row>12</xdr:row>
      <xdr:rowOff>134085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113447</xdr:colOff>
      <xdr:row>14</xdr:row>
      <xdr:rowOff>79995</xdr:rowOff>
    </xdr:from>
    <xdr:to>
      <xdr:col>32</xdr:col>
      <xdr:colOff>568922</xdr:colOff>
      <xdr:row>26</xdr:row>
      <xdr:rowOff>120440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126318</xdr:colOff>
      <xdr:row>11</xdr:row>
      <xdr:rowOff>49671</xdr:rowOff>
    </xdr:from>
    <xdr:to>
      <xdr:col>40</xdr:col>
      <xdr:colOff>416043</xdr:colOff>
      <xdr:row>26</xdr:row>
      <xdr:rowOff>123519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55D19D-06E0-4709-BD83-D2C7DE9D4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230240</xdr:colOff>
      <xdr:row>28</xdr:row>
      <xdr:rowOff>15466</xdr:rowOff>
    </xdr:from>
    <xdr:to>
      <xdr:col>44</xdr:col>
      <xdr:colOff>355811</xdr:colOff>
      <xdr:row>56</xdr:row>
      <xdr:rowOff>143924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BBB274-DD83-421E-99C7-2434AAC8D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0</xdr:colOff>
      <xdr:row>10</xdr:row>
      <xdr:rowOff>0</xdr:rowOff>
    </xdr:from>
    <xdr:to>
      <xdr:col>49</xdr:col>
      <xdr:colOff>289725</xdr:colOff>
      <xdr:row>25</xdr:row>
      <xdr:rowOff>73848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1F7610-CDB1-4C85-A696-8569BB7A3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0.07401</cdr:x>
      <cdr:y>0.37762</cdr:y>
    </cdr:from>
    <cdr:to>
      <cdr:x>0.95164</cdr:x>
      <cdr:y>0.37916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2816CE1-E46A-4BFB-939B-DEA2F584B7D0}"/>
            </a:ext>
          </a:extLst>
        </cdr:cNvPr>
        <cdr:cNvCxnSpPr/>
      </cdr:nvCxnSpPr>
      <cdr:spPr>
        <a:xfrm xmlns:a="http://schemas.openxmlformats.org/drawingml/2006/main" flipV="1">
          <a:off x="325143" y="1147564"/>
          <a:ext cx="3855438" cy="468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0.08293</cdr:x>
      <cdr:y>0.2111</cdr:y>
    </cdr:from>
    <cdr:to>
      <cdr:x>0.96456</cdr:x>
      <cdr:y>0.2118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E1585ED0-FD8A-4183-AA2A-40F48465BAE5}"/>
            </a:ext>
          </a:extLst>
        </cdr:cNvPr>
        <cdr:cNvCxnSpPr/>
      </cdr:nvCxnSpPr>
      <cdr:spPr>
        <a:xfrm xmlns:a="http://schemas.openxmlformats.org/drawingml/2006/main">
          <a:off x="364299" y="641531"/>
          <a:ext cx="3873016" cy="212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0.1578</cdr:x>
      <cdr:y>0.22915</cdr:y>
    </cdr:from>
    <cdr:to>
      <cdr:x>0.15782</cdr:x>
      <cdr:y>0.36567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A7E03A3C-9942-4A41-BF1A-29626CCD205D}"/>
            </a:ext>
          </a:extLst>
        </cdr:cNvPr>
        <cdr:cNvCxnSpPr/>
      </cdr:nvCxnSpPr>
      <cdr:spPr>
        <a:xfrm xmlns:a="http://schemas.openxmlformats.org/drawingml/2006/main" flipH="1">
          <a:off x="693204" y="696379"/>
          <a:ext cx="99" cy="41487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0.15879</cdr:x>
      <cdr:y>0.39038</cdr:y>
    </cdr:from>
    <cdr:to>
      <cdr:x>0.15996</cdr:x>
      <cdr:y>0.54289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0FE0E9B4-D1DF-41AC-AF18-FBB024059291}"/>
            </a:ext>
          </a:extLst>
        </cdr:cNvPr>
        <cdr:cNvCxnSpPr/>
      </cdr:nvCxnSpPr>
      <cdr:spPr>
        <a:xfrm xmlns:a="http://schemas.openxmlformats.org/drawingml/2006/main">
          <a:off x="697582" y="1186341"/>
          <a:ext cx="5140" cy="46350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0.16187</cdr:x>
      <cdr:y>0.38261</cdr:y>
    </cdr:from>
    <cdr:to>
      <cdr:x>0.54523</cdr:x>
      <cdr:y>0.46938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711098" y="1162746"/>
          <a:ext cx="1684107" cy="263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Moderate Disproportion</a:t>
          </a:r>
        </a:p>
      </cdr:txBody>
    </cdr:sp>
  </cdr:relSizeAnchor>
  <cdr:relSizeAnchor xmlns:cdr="http://schemas.openxmlformats.org/drawingml/2006/chartDrawing">
    <cdr:from>
      <cdr:x>0.15665</cdr:x>
      <cdr:y>0.54776</cdr:y>
    </cdr:from>
    <cdr:to>
      <cdr:x>0.36394</cdr:x>
      <cdr:y>0.63804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88166" y="1664630"/>
          <a:ext cx="910639" cy="274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Target</a:t>
          </a:r>
        </a:p>
      </cdr:txBody>
    </cdr:sp>
  </cdr:relSizeAnchor>
  <cdr:relSizeAnchor xmlns:cdr="http://schemas.openxmlformats.org/drawingml/2006/chartDrawing">
    <cdr:from>
      <cdr:x>0.07601</cdr:x>
      <cdr:y>0.54975</cdr:y>
    </cdr:from>
    <cdr:to>
      <cdr:x>0.95802</cdr:x>
      <cdr:y>0.55038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83282B1C-5747-445D-AAA1-80B5AD7B277A}"/>
            </a:ext>
          </a:extLst>
        </cdr:cNvPr>
        <cdr:cNvCxnSpPr/>
      </cdr:nvCxnSpPr>
      <cdr:spPr>
        <a:xfrm xmlns:a="http://schemas.openxmlformats.org/drawingml/2006/main">
          <a:off x="333927" y="1670687"/>
          <a:ext cx="3874685" cy="191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0.08379</cdr:x>
      <cdr:y>0.63358</cdr:y>
    </cdr:from>
    <cdr:to>
      <cdr:x>0.9658</cdr:x>
      <cdr:y>0.6342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88C9EA1-24E7-27B1-8B3E-703B79FDD855}"/>
            </a:ext>
          </a:extLst>
        </cdr:cNvPr>
        <cdr:cNvCxnSpPr/>
      </cdr:nvCxnSpPr>
      <cdr:spPr>
        <a:xfrm xmlns:a="http://schemas.openxmlformats.org/drawingml/2006/main">
          <a:off x="368088" y="1925420"/>
          <a:ext cx="3874685" cy="1914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0.16209</cdr:x>
      <cdr:y>0.21625</cdr:y>
    </cdr:from>
    <cdr:to>
      <cdr:x>0.53162</cdr:x>
      <cdr:y>0.31369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712063" y="657167"/>
          <a:ext cx="1623352" cy="296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High Disproportion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0.11533</cdr:x>
      <cdr:y>0.40332</cdr:y>
    </cdr:from>
    <cdr:to>
      <cdr:x>0.95216</cdr:x>
      <cdr:y>0.4085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08437CFB-ACCE-40D6-A4A3-E28896A961A1}"/>
            </a:ext>
          </a:extLst>
        </cdr:cNvPr>
        <cdr:cNvCxnSpPr/>
      </cdr:nvCxnSpPr>
      <cdr:spPr>
        <a:xfrm xmlns:a="http://schemas.openxmlformats.org/drawingml/2006/main" flipV="1">
          <a:off x="346564" y="852473"/>
          <a:ext cx="2514600" cy="1094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0.11791</cdr:x>
      <cdr:y>0.27499</cdr:y>
    </cdr:from>
    <cdr:to>
      <cdr:x>0.95474</cdr:x>
      <cdr:y>0.27608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4E881017-9588-4688-995A-B385B3C24741}"/>
            </a:ext>
          </a:extLst>
        </cdr:cNvPr>
        <cdr:cNvCxnSpPr/>
      </cdr:nvCxnSpPr>
      <cdr:spPr>
        <a:xfrm xmlns:a="http://schemas.openxmlformats.org/drawingml/2006/main">
          <a:off x="354322" y="581237"/>
          <a:ext cx="2514600" cy="2304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0.18038</cdr:x>
      <cdr:y>0.28275</cdr:y>
    </cdr:from>
    <cdr:to>
      <cdr:x>0.18127</cdr:x>
      <cdr:y>0.40319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DE7BBF98-9607-40EB-A244-78B7FC3D7828}"/>
            </a:ext>
          </a:extLst>
        </cdr:cNvPr>
        <cdr:cNvCxnSpPr/>
      </cdr:nvCxnSpPr>
      <cdr:spPr>
        <a:xfrm xmlns:a="http://schemas.openxmlformats.org/drawingml/2006/main" flipH="1">
          <a:off x="542033" y="597642"/>
          <a:ext cx="2678" cy="25454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0.18104</cdr:x>
      <cdr:y>0.4182</cdr:y>
    </cdr:from>
    <cdr:to>
      <cdr:x>0.18121</cdr:x>
      <cdr:y>0.55182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857035A9-FEE9-4AB6-A2A1-A7BC2CD2D393}"/>
            </a:ext>
          </a:extLst>
        </cdr:cNvPr>
        <cdr:cNvCxnSpPr/>
      </cdr:nvCxnSpPr>
      <cdr:spPr>
        <a:xfrm xmlns:a="http://schemas.openxmlformats.org/drawingml/2006/main" flipH="1">
          <a:off x="544018" y="883931"/>
          <a:ext cx="511" cy="2824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0.17819</cdr:x>
      <cdr:y>0.25277</cdr:y>
    </cdr:from>
    <cdr:to>
      <cdr:x>0.75598</cdr:x>
      <cdr:y>0.38777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35457" y="534275"/>
          <a:ext cx="1736212" cy="285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High Disproportion</a:t>
          </a:r>
        </a:p>
      </cdr:txBody>
    </cdr:sp>
  </cdr:relSizeAnchor>
  <cdr:relSizeAnchor xmlns:cdr="http://schemas.openxmlformats.org/drawingml/2006/chartDrawing">
    <cdr:from>
      <cdr:x>0.17893</cdr:x>
      <cdr:y>0.38952</cdr:y>
    </cdr:from>
    <cdr:to>
      <cdr:x>0.75421</cdr:x>
      <cdr:y>0.51958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37680" y="823303"/>
          <a:ext cx="1728665" cy="274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Moderate Disproportion</a:t>
          </a:r>
        </a:p>
      </cdr:txBody>
    </cdr:sp>
  </cdr:relSizeAnchor>
  <cdr:relSizeAnchor xmlns:cdr="http://schemas.openxmlformats.org/drawingml/2006/chartDrawing">
    <cdr:from>
      <cdr:x>0.17547</cdr:x>
      <cdr:y>0.53435</cdr:y>
    </cdr:from>
    <cdr:to>
      <cdr:x>0.39978</cdr:x>
      <cdr:y>0.62463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27277" y="1129421"/>
          <a:ext cx="674035" cy="190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Target</a:t>
          </a:r>
        </a:p>
      </cdr:txBody>
    </cdr:sp>
  </cdr:relSizeAnchor>
  <cdr:relSizeAnchor xmlns:cdr="http://schemas.openxmlformats.org/drawingml/2006/chartDrawing">
    <cdr:from>
      <cdr:x>0.11799</cdr:x>
      <cdr:y>0.55081</cdr:y>
    </cdr:from>
    <cdr:to>
      <cdr:x>0.95584</cdr:x>
      <cdr:y>0.55128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985939F9-7EA1-4BED-AD75-D703267D3BFB}"/>
            </a:ext>
          </a:extLst>
        </cdr:cNvPr>
        <cdr:cNvCxnSpPr/>
      </cdr:nvCxnSpPr>
      <cdr:spPr>
        <a:xfrm xmlns:a="http://schemas.openxmlformats.org/drawingml/2006/main">
          <a:off x="353825" y="1180367"/>
          <a:ext cx="2512521" cy="99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0.1004</cdr:x>
      <cdr:y>0.40566</cdr:y>
    </cdr:from>
    <cdr:to>
      <cdr:x>0.97578</cdr:x>
      <cdr:y>0.41084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305DB31-9853-4D2E-9FB0-B0FC2265E943}"/>
            </a:ext>
          </a:extLst>
        </cdr:cNvPr>
        <cdr:cNvCxnSpPr/>
      </cdr:nvCxnSpPr>
      <cdr:spPr>
        <a:xfrm xmlns:a="http://schemas.openxmlformats.org/drawingml/2006/main" flipV="1">
          <a:off x="352426" y="903070"/>
          <a:ext cx="3072882" cy="11532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0.10099</cdr:x>
      <cdr:y>0.28198</cdr:y>
    </cdr:from>
    <cdr:to>
      <cdr:x>0.97578</cdr:x>
      <cdr:y>0.28307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A6222A2E-B096-4A50-9BF7-33E9F15FB1F6}"/>
            </a:ext>
          </a:extLst>
        </cdr:cNvPr>
        <cdr:cNvCxnSpPr/>
      </cdr:nvCxnSpPr>
      <cdr:spPr>
        <a:xfrm xmlns:a="http://schemas.openxmlformats.org/drawingml/2006/main">
          <a:off x="353329" y="628387"/>
          <a:ext cx="3060613" cy="242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0.15958</cdr:x>
      <cdr:y>0.28602</cdr:y>
    </cdr:from>
    <cdr:to>
      <cdr:x>0.15958</cdr:x>
      <cdr:y>0.40425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FDC48D82-3EA0-4603-AB8E-74598798D33E}"/>
            </a:ext>
          </a:extLst>
        </cdr:cNvPr>
        <cdr:cNvCxnSpPr/>
      </cdr:nvCxnSpPr>
      <cdr:spPr>
        <a:xfrm xmlns:a="http://schemas.openxmlformats.org/drawingml/2006/main">
          <a:off x="558321" y="637396"/>
          <a:ext cx="0" cy="2634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0.15925</cdr:x>
      <cdr:y>0.41029</cdr:y>
    </cdr:from>
    <cdr:to>
      <cdr:x>0.15942</cdr:x>
      <cdr:y>0.54391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B4D1A3FB-EE01-48AE-B34A-D389A9F8A7CA}"/>
            </a:ext>
          </a:extLst>
        </cdr:cNvPr>
        <cdr:cNvCxnSpPr/>
      </cdr:nvCxnSpPr>
      <cdr:spPr>
        <a:xfrm xmlns:a="http://schemas.openxmlformats.org/drawingml/2006/main" flipH="1">
          <a:off x="559022" y="913364"/>
          <a:ext cx="596" cy="29746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0.15746</cdr:x>
      <cdr:y>0.26591</cdr:y>
    </cdr:from>
    <cdr:to>
      <cdr:x>0.7051</cdr:x>
      <cdr:y>0.40091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50918" y="592570"/>
          <a:ext cx="1915994" cy="300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High Disproportion</a:t>
          </a:r>
        </a:p>
      </cdr:txBody>
    </cdr:sp>
  </cdr:relSizeAnchor>
  <cdr:relSizeAnchor xmlns:cdr="http://schemas.openxmlformats.org/drawingml/2006/chartDrawing">
    <cdr:from>
      <cdr:x>0.15516</cdr:x>
      <cdr:y>0.38811</cdr:y>
    </cdr:from>
    <cdr:to>
      <cdr:x>0.71478</cdr:x>
      <cdr:y>0.51817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44664" y="863995"/>
          <a:ext cx="1964444" cy="28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Moderate Disproportion</a:t>
          </a:r>
        </a:p>
      </cdr:txBody>
    </cdr:sp>
  </cdr:relSizeAnchor>
  <cdr:relSizeAnchor xmlns:cdr="http://schemas.openxmlformats.org/drawingml/2006/chartDrawing">
    <cdr:from>
      <cdr:x>0.15528</cdr:x>
      <cdr:y>0.52004</cdr:y>
    </cdr:from>
    <cdr:to>
      <cdr:x>0.37959</cdr:x>
      <cdr:y>0.61032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543276" y="1158897"/>
          <a:ext cx="784789" cy="201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w Cen MT" panose="020B0602020104020603" pitchFamily="34" charset="0"/>
            </a:rPr>
            <a:t>Target</a:t>
          </a:r>
        </a:p>
      </cdr:txBody>
    </cdr:sp>
  </cdr:relSizeAnchor>
  <cdr:relSizeAnchor xmlns:cdr="http://schemas.openxmlformats.org/drawingml/2006/chartDrawing">
    <cdr:from>
      <cdr:x>0.09535</cdr:x>
      <cdr:y>0.54531</cdr:y>
    </cdr:from>
    <cdr:to>
      <cdr:x>0.97736</cdr:x>
      <cdr:y>0.54594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8534AB6E-4F67-4143-9CDA-2BE261202979}"/>
            </a:ext>
          </a:extLst>
        </cdr:cNvPr>
        <cdr:cNvCxnSpPr/>
      </cdr:nvCxnSpPr>
      <cdr:spPr>
        <a:xfrm xmlns:a="http://schemas.openxmlformats.org/drawingml/2006/main">
          <a:off x="349124" y="1414992"/>
          <a:ext cx="3229582" cy="1634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0.73348</cdr:x>
      <cdr:y>0.24291</cdr:y>
    </cdr:from>
    <cdr:to>
      <cdr:x>0.79561</cdr:x>
      <cdr:y>0.33999</cdr:y>
    </cdr:to>
    <cdr:sp macro="" textlink="">
      <cdr:nvSpPr>
        <cdr:cNvPr id="2" name="Speech Bubble: Rectangle 1">
          <a:extLst xmlns:a="http://schemas.openxmlformats.org/drawingml/2006/main">
            <a:ext uri="{FF2B5EF4-FFF2-40B4-BE49-F238E27FC236}">
              <a16:creationId xmlns:a16="http://schemas.microsoft.com/office/drawing/2014/main" id="{2C1B32A1-853F-4110-B5AC-E2CA9F9AD6A2}"/>
            </a:ext>
          </a:extLst>
        </cdr:cNvPr>
        <cdr:cNvSpPr/>
      </cdr:nvSpPr>
      <cdr:spPr>
        <a:xfrm xmlns:a="http://schemas.openxmlformats.org/drawingml/2006/main">
          <a:off x="10039123" y="1247377"/>
          <a:ext cx="850446" cy="498501"/>
        </a:xfrm>
        <a:prstGeom xmlns:a="http://schemas.openxmlformats.org/drawingml/2006/main" prst="wedgeRectCallout">
          <a:avLst>
            <a:gd name="adj1" fmla="val -44537"/>
            <a:gd name="adj2" fmla="val -79272"/>
          </a:avLst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</a:rPr>
            <a:t>530,000</a:t>
          </a:r>
        </a:p>
        <a:p xmlns:a="http://schemas.openxmlformats.org/drawingml/2006/main">
          <a:r>
            <a:rPr lang="en-US">
              <a:solidFill>
                <a:schemeClr val="tx1"/>
              </a:solidFill>
            </a:rPr>
            <a:t>(estimated)</a:t>
          </a:r>
        </a:p>
      </cdr:txBody>
    </cdr:sp>
  </cdr:relSizeAnchor>
  <cdr:relSizeAnchor xmlns:cdr="http://schemas.openxmlformats.org/drawingml/2006/chartDrawing">
    <cdr:from>
      <cdr:x>0.73707</cdr:x>
      <cdr:y>0.52072</cdr:y>
    </cdr:from>
    <cdr:to>
      <cdr:x>0.7992</cdr:x>
      <cdr:y>0.61779</cdr:y>
    </cdr:to>
    <cdr:sp macro="" textlink="">
      <cdr:nvSpPr>
        <cdr:cNvPr id="3" name="Speech Bubble: Rectangle 2">
          <a:extLst xmlns:a="http://schemas.openxmlformats.org/drawingml/2006/main">
            <a:ext uri="{FF2B5EF4-FFF2-40B4-BE49-F238E27FC236}">
              <a16:creationId xmlns:a16="http://schemas.microsoft.com/office/drawing/2014/main" id="{D84D3E91-41F4-410C-A15A-A632AFC8ABF1}"/>
            </a:ext>
          </a:extLst>
        </cdr:cNvPr>
        <cdr:cNvSpPr/>
      </cdr:nvSpPr>
      <cdr:spPr>
        <a:xfrm xmlns:a="http://schemas.openxmlformats.org/drawingml/2006/main">
          <a:off x="10088290" y="2673908"/>
          <a:ext cx="850447" cy="498500"/>
        </a:xfrm>
        <a:prstGeom xmlns:a="http://schemas.openxmlformats.org/drawingml/2006/main" prst="wedgeRectCallout">
          <a:avLst>
            <a:gd name="adj1" fmla="val -44537"/>
            <a:gd name="adj2" fmla="val -79272"/>
          </a:avLst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>
              <a:solidFill>
                <a:schemeClr val="tx1"/>
              </a:solidFill>
            </a:rPr>
            <a:t>311,000</a:t>
          </a:r>
        </a:p>
        <a:p xmlns:a="http://schemas.openxmlformats.org/drawingml/2006/main">
          <a:r>
            <a:rPr lang="en-US">
              <a:solidFill>
                <a:schemeClr val="tx1"/>
              </a:solidFill>
            </a:rPr>
            <a:t>(estimated)</a:t>
          </a:r>
        </a:p>
      </cdr:txBody>
    </cdr:sp>
  </cdr:relSizeAnchor>
  <cdr:relSizeAnchor xmlns:cdr="http://schemas.openxmlformats.org/drawingml/2006/chartDrawing">
    <cdr:from>
      <cdr:x>0.73637</cdr:x>
      <cdr:y>0.80716</cdr:y>
    </cdr:from>
    <cdr:to>
      <cdr:x>0.79822</cdr:x>
      <cdr:y>0.88935</cdr:y>
    </cdr:to>
    <cdr:sp macro="" textlink="">
      <cdr:nvSpPr>
        <cdr:cNvPr id="4" name="Speech Bubble: Rectangle 3">
          <a:extLst xmlns:a="http://schemas.openxmlformats.org/drawingml/2006/main">
            <a:ext uri="{FF2B5EF4-FFF2-40B4-BE49-F238E27FC236}">
              <a16:creationId xmlns:a16="http://schemas.microsoft.com/office/drawing/2014/main" id="{D84D3E91-41F4-410C-A15A-A632AFC8ABF1}"/>
            </a:ext>
          </a:extLst>
        </cdr:cNvPr>
        <cdr:cNvSpPr/>
      </cdr:nvSpPr>
      <cdr:spPr>
        <a:xfrm xmlns:a="http://schemas.openxmlformats.org/drawingml/2006/main">
          <a:off x="10023558" y="4165771"/>
          <a:ext cx="841959" cy="424202"/>
        </a:xfrm>
        <a:prstGeom xmlns:a="http://schemas.openxmlformats.org/drawingml/2006/main" prst="wedgeRectCallout">
          <a:avLst>
            <a:gd name="adj1" fmla="val -44537"/>
            <a:gd name="adj2" fmla="val -79272"/>
          </a:avLst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>
              <a:solidFill>
                <a:schemeClr val="tx1"/>
              </a:solidFill>
            </a:rPr>
            <a:t>84,000</a:t>
          </a:r>
        </a:p>
        <a:p xmlns:a="http://schemas.openxmlformats.org/drawingml/2006/main">
          <a:r>
            <a:rPr lang="en-US">
              <a:solidFill>
                <a:schemeClr val="tx1"/>
              </a:solidFill>
            </a:rPr>
            <a:t>(estimated)</a:t>
          </a:r>
        </a:p>
      </cdr:txBody>
    </cdr:sp>
  </cdr:relSizeAnchor>
  <cdr:relSizeAnchor xmlns:cdr="http://schemas.openxmlformats.org/drawingml/2006/chartDrawing">
    <cdr:from>
      <cdr:x>0.74466</cdr:x>
      <cdr:y>0.63155</cdr:y>
    </cdr:from>
    <cdr:to>
      <cdr:x>0.80651</cdr:x>
      <cdr:y>0.73134</cdr:y>
    </cdr:to>
    <cdr:sp macro="" textlink="">
      <cdr:nvSpPr>
        <cdr:cNvPr id="5" name="Speech Bubble: Rectangle 4">
          <a:extLst xmlns:a="http://schemas.openxmlformats.org/drawingml/2006/main">
            <a:ext uri="{FF2B5EF4-FFF2-40B4-BE49-F238E27FC236}">
              <a16:creationId xmlns:a16="http://schemas.microsoft.com/office/drawing/2014/main" id="{D84D3E91-41F4-410C-A15A-A632AFC8ABF1}"/>
            </a:ext>
          </a:extLst>
        </cdr:cNvPr>
        <cdr:cNvSpPr/>
      </cdr:nvSpPr>
      <cdr:spPr>
        <a:xfrm xmlns:a="http://schemas.openxmlformats.org/drawingml/2006/main">
          <a:off x="10192185" y="3243051"/>
          <a:ext cx="846588" cy="512429"/>
        </a:xfrm>
        <a:prstGeom xmlns:a="http://schemas.openxmlformats.org/drawingml/2006/main" prst="wedgeRectCallout">
          <a:avLst>
            <a:gd name="adj1" fmla="val -57688"/>
            <a:gd name="adj2" fmla="val 88502"/>
          </a:avLst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>
              <a:solidFill>
                <a:schemeClr val="tx1"/>
              </a:solidFill>
            </a:rPr>
            <a:t>97,000</a:t>
          </a:r>
        </a:p>
        <a:p xmlns:a="http://schemas.openxmlformats.org/drawingml/2006/main">
          <a:r>
            <a:rPr lang="en-US">
              <a:solidFill>
                <a:schemeClr val="tx1"/>
              </a:solidFill>
            </a:rPr>
            <a:t>(estimated)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79"/>
  <sheetViews>
    <sheetView tabSelected="1" topLeftCell="A4" zoomScale="90" zoomScaleNormal="90" workbookViewId="0">
      <selection activeCell="V23" sqref="V23"/>
    </sheetView>
  </sheetViews>
  <sheetFormatPr defaultRowHeight="15" x14ac:dyDescent="0.25"/>
  <cols>
    <col min="2" max="2" width="16.42578125" customWidth="1"/>
    <col min="3" max="3" width="9.7109375" hidden="1" customWidth="1"/>
    <col min="4" max="5" width="9.85546875" hidden="1" customWidth="1"/>
    <col min="6" max="6" width="9.7109375" hidden="1" customWidth="1"/>
    <col min="7" max="7" width="9.85546875" hidden="1" customWidth="1"/>
    <col min="8" max="8" width="9.7109375" customWidth="1"/>
    <col min="9" max="9" width="10.5703125" customWidth="1"/>
    <col min="10" max="10" width="10.140625" customWidth="1"/>
    <col min="11" max="11" width="9.85546875" customWidth="1"/>
    <col min="12" max="13" width="13.7109375" customWidth="1"/>
    <col min="14" max="14" width="10.5703125" customWidth="1"/>
    <col min="15" max="15" width="11.42578125" customWidth="1"/>
    <col min="16" max="17" width="11.28515625" customWidth="1"/>
    <col min="18" max="18" width="12" customWidth="1"/>
    <col min="19" max="19" width="10" customWidth="1"/>
    <col min="20" max="20" width="9.5703125" customWidth="1"/>
  </cols>
  <sheetData>
    <row r="1" spans="2:18" x14ac:dyDescent="0.25">
      <c r="B1" s="7" t="s">
        <v>0</v>
      </c>
    </row>
    <row r="2" spans="2:18" x14ac:dyDescent="0.25">
      <c r="B2" s="42"/>
      <c r="C2" s="43">
        <v>2008</v>
      </c>
      <c r="D2" s="43">
        <v>2009</v>
      </c>
      <c r="E2" s="43">
        <v>2010</v>
      </c>
      <c r="F2" s="43">
        <v>2011</v>
      </c>
      <c r="G2" s="43">
        <v>2012</v>
      </c>
      <c r="H2" s="43">
        <v>2013</v>
      </c>
      <c r="I2" s="43">
        <v>2014</v>
      </c>
      <c r="J2" s="43">
        <v>2015</v>
      </c>
      <c r="K2" s="43">
        <v>2016</v>
      </c>
      <c r="L2" s="43">
        <v>2017</v>
      </c>
      <c r="M2" s="43">
        <v>2018</v>
      </c>
      <c r="N2" s="43">
        <v>2019</v>
      </c>
      <c r="O2" s="43">
        <v>2020</v>
      </c>
      <c r="P2" s="43">
        <v>2021</v>
      </c>
      <c r="Q2" s="43">
        <v>2022</v>
      </c>
      <c r="R2" s="43">
        <v>2023</v>
      </c>
    </row>
    <row r="3" spans="2:18" x14ac:dyDescent="0.25">
      <c r="B3" s="4" t="s">
        <v>1</v>
      </c>
      <c r="C3" s="26">
        <v>8943</v>
      </c>
      <c r="D3" s="26">
        <v>9194</v>
      </c>
      <c r="E3" s="2">
        <v>9287</v>
      </c>
      <c r="F3" s="27">
        <v>9030</v>
      </c>
      <c r="G3" s="26">
        <v>8719</v>
      </c>
      <c r="H3" s="28">
        <v>8613</v>
      </c>
      <c r="I3">
        <v>8293</v>
      </c>
      <c r="J3">
        <v>8122</v>
      </c>
      <c r="K3" s="36">
        <v>7961</v>
      </c>
      <c r="L3">
        <v>8165</v>
      </c>
      <c r="M3">
        <v>7342</v>
      </c>
      <c r="N3">
        <v>6872</v>
      </c>
      <c r="O3" s="26">
        <v>4548</v>
      </c>
      <c r="P3" s="38">
        <v>4420</v>
      </c>
      <c r="Q3" s="38">
        <v>6996</v>
      </c>
      <c r="R3" s="38">
        <v>8420</v>
      </c>
    </row>
    <row r="4" spans="2:18" x14ac:dyDescent="0.25">
      <c r="B4" s="4" t="s">
        <v>2</v>
      </c>
      <c r="C4" s="26">
        <v>15475</v>
      </c>
      <c r="D4" s="26">
        <v>15474</v>
      </c>
      <c r="E4" s="2">
        <v>15228</v>
      </c>
      <c r="F4" s="26">
        <v>14664</v>
      </c>
      <c r="G4" s="26">
        <v>14778</v>
      </c>
      <c r="H4" s="28">
        <v>14466</v>
      </c>
      <c r="I4" s="26">
        <v>13330</v>
      </c>
      <c r="J4" s="26">
        <v>12012</v>
      </c>
      <c r="K4" s="26">
        <v>11698</v>
      </c>
      <c r="L4" s="26">
        <v>12022</v>
      </c>
      <c r="M4" s="26">
        <v>10693</v>
      </c>
      <c r="N4" s="26">
        <v>9640</v>
      </c>
      <c r="O4" s="26">
        <v>7227</v>
      </c>
      <c r="P4" s="26">
        <v>7461</v>
      </c>
      <c r="Q4" s="26">
        <v>10305</v>
      </c>
      <c r="R4" s="26">
        <v>12129</v>
      </c>
    </row>
    <row r="5" spans="2:18" x14ac:dyDescent="0.25">
      <c r="B5" s="4" t="s">
        <v>3</v>
      </c>
      <c r="C5" s="26">
        <v>341</v>
      </c>
      <c r="D5" s="26">
        <v>397</v>
      </c>
      <c r="E5" s="2">
        <v>435</v>
      </c>
      <c r="F5" s="26">
        <v>444</v>
      </c>
      <c r="G5" s="26">
        <v>454</v>
      </c>
      <c r="H5" s="28">
        <v>513</v>
      </c>
      <c r="I5" s="26">
        <v>528</v>
      </c>
      <c r="J5" s="26">
        <v>524</v>
      </c>
      <c r="K5" s="26">
        <v>501</v>
      </c>
      <c r="L5" s="26">
        <v>489</v>
      </c>
      <c r="M5" s="26">
        <v>420</v>
      </c>
      <c r="N5" s="26">
        <v>402</v>
      </c>
      <c r="O5" s="26">
        <v>234</v>
      </c>
      <c r="P5" s="26">
        <v>252</v>
      </c>
      <c r="Q5" s="26">
        <v>352</v>
      </c>
      <c r="R5" s="26">
        <v>413</v>
      </c>
    </row>
    <row r="6" spans="2:18" x14ac:dyDescent="0.25">
      <c r="B6" s="4" t="s">
        <v>4</v>
      </c>
      <c r="C6" s="26">
        <v>19123</v>
      </c>
      <c r="D6" s="26">
        <v>19232</v>
      </c>
      <c r="E6" s="3">
        <v>19292</v>
      </c>
      <c r="F6" s="26">
        <v>17970</v>
      </c>
      <c r="G6" s="26">
        <v>18185</v>
      </c>
      <c r="H6" s="28">
        <v>17548</v>
      </c>
      <c r="I6" s="26">
        <v>17195</v>
      </c>
      <c r="J6" s="26">
        <v>16804</v>
      </c>
      <c r="K6" s="26">
        <v>15871</v>
      </c>
      <c r="L6" s="26">
        <v>14973</v>
      </c>
      <c r="M6" s="26">
        <v>13764</v>
      </c>
      <c r="N6" s="26">
        <v>12461</v>
      </c>
      <c r="O6" s="26">
        <v>7070</v>
      </c>
      <c r="P6" s="26">
        <v>6228</v>
      </c>
      <c r="Q6" s="26">
        <v>8295</v>
      </c>
      <c r="R6" s="26">
        <v>9125</v>
      </c>
    </row>
    <row r="7" spans="2:18" x14ac:dyDescent="0.25">
      <c r="B7" s="8" t="s">
        <v>5</v>
      </c>
      <c r="C7" s="29">
        <f t="shared" ref="C7:H7" si="0">SUM(C3:C6)</f>
        <v>43882</v>
      </c>
      <c r="D7" s="29">
        <f t="shared" si="0"/>
        <v>44297</v>
      </c>
      <c r="E7" s="26">
        <f t="shared" si="0"/>
        <v>44242</v>
      </c>
      <c r="F7" s="29">
        <f t="shared" si="0"/>
        <v>42108</v>
      </c>
      <c r="G7" s="40">
        <f t="shared" si="0"/>
        <v>42136</v>
      </c>
      <c r="H7" s="40">
        <f t="shared" si="0"/>
        <v>41140</v>
      </c>
      <c r="I7" s="29">
        <f t="shared" ref="I7:N7" si="1">SUM(I3:I6)</f>
        <v>39346</v>
      </c>
      <c r="J7" s="29">
        <f t="shared" si="1"/>
        <v>37462</v>
      </c>
      <c r="K7" s="29">
        <f t="shared" si="1"/>
        <v>36031</v>
      </c>
      <c r="L7" s="29">
        <f t="shared" si="1"/>
        <v>35649</v>
      </c>
      <c r="M7" s="29">
        <f t="shared" si="1"/>
        <v>32219</v>
      </c>
      <c r="N7" s="29">
        <f t="shared" si="1"/>
        <v>29375</v>
      </c>
      <c r="O7" s="29">
        <v>19079</v>
      </c>
      <c r="P7" s="29">
        <f>SUM(P3:P6)</f>
        <v>18361</v>
      </c>
      <c r="Q7" s="29">
        <f t="shared" ref="Q7:R7" si="2">SUM(Q3:Q6)</f>
        <v>25948</v>
      </c>
      <c r="R7" s="29">
        <f t="shared" si="2"/>
        <v>30087</v>
      </c>
    </row>
    <row r="9" spans="2:18" x14ac:dyDescent="0.25">
      <c r="L9" s="46" t="s">
        <v>43</v>
      </c>
      <c r="M9" s="34">
        <f>((M7-I7)/I7)</f>
        <v>-0.18113658313424491</v>
      </c>
    </row>
    <row r="10" spans="2:18" x14ac:dyDescent="0.25">
      <c r="G10" s="5"/>
      <c r="L10" t="s">
        <v>44</v>
      </c>
      <c r="M10" s="34">
        <f>((M3-I3)/I3)</f>
        <v>-0.11467502713131557</v>
      </c>
    </row>
    <row r="11" spans="2:18" x14ac:dyDescent="0.25">
      <c r="B11" s="7" t="s">
        <v>41</v>
      </c>
      <c r="G11" s="5"/>
      <c r="M11" s="34"/>
    </row>
    <row r="12" spans="2:18" x14ac:dyDescent="0.25">
      <c r="B12" s="42"/>
      <c r="C12" s="43">
        <v>2008</v>
      </c>
      <c r="D12" s="43">
        <v>2009</v>
      </c>
      <c r="E12" s="43">
        <v>2010</v>
      </c>
      <c r="F12" s="43">
        <v>2011</v>
      </c>
      <c r="G12" s="43">
        <v>2012</v>
      </c>
      <c r="H12" s="43">
        <v>2013</v>
      </c>
      <c r="I12" s="43">
        <v>2014</v>
      </c>
      <c r="J12" s="43">
        <v>2015</v>
      </c>
      <c r="K12" s="43">
        <v>2016</v>
      </c>
      <c r="L12" s="43">
        <v>2017</v>
      </c>
      <c r="M12" s="43">
        <v>2018</v>
      </c>
      <c r="N12" s="43">
        <v>2019</v>
      </c>
      <c r="O12" s="43">
        <v>2020</v>
      </c>
      <c r="P12" s="43">
        <v>2021</v>
      </c>
      <c r="Q12" s="43">
        <v>2022</v>
      </c>
      <c r="R12" s="43">
        <v>2023</v>
      </c>
    </row>
    <row r="13" spans="2:18" x14ac:dyDescent="0.25">
      <c r="B13" s="4" t="s">
        <v>1</v>
      </c>
      <c r="C13" s="31">
        <v>0.20379654528052504</v>
      </c>
      <c r="D13" s="31">
        <v>0.20755355893175609</v>
      </c>
      <c r="E13" s="31">
        <v>0.20991365670629719</v>
      </c>
      <c r="F13" s="31">
        <v>0.21444856084354516</v>
      </c>
      <c r="G13" s="31">
        <v>0.20692519460793621</v>
      </c>
      <c r="H13" s="33">
        <v>0.20935828877005347</v>
      </c>
      <c r="I13" s="35">
        <f t="shared" ref="I13:N13" si="3">I3/I7</f>
        <v>0.21077110760941392</v>
      </c>
      <c r="J13" s="35">
        <f t="shared" si="3"/>
        <v>0.21680636378196572</v>
      </c>
      <c r="K13" s="35">
        <f t="shared" si="3"/>
        <v>0.22094862757070299</v>
      </c>
      <c r="L13" s="35">
        <f t="shared" si="3"/>
        <v>0.22903868271199754</v>
      </c>
      <c r="M13" s="35">
        <f>M3/M7</f>
        <v>0.22787796020981407</v>
      </c>
      <c r="N13" s="44">
        <f t="shared" si="3"/>
        <v>0.23394042553191488</v>
      </c>
      <c r="O13" s="44">
        <f>O3/O7</f>
        <v>0.23837727344200429</v>
      </c>
      <c r="P13" s="44">
        <f>P3/P7</f>
        <v>0.2407276292140951</v>
      </c>
      <c r="Q13" s="44">
        <f>Q3/Q7</f>
        <v>0.26961615538769845</v>
      </c>
      <c r="R13" s="44">
        <f>R3/R7</f>
        <v>0.2798550869146143</v>
      </c>
    </row>
    <row r="14" spans="2:18" x14ac:dyDescent="0.25">
      <c r="B14" s="4" t="s">
        <v>2</v>
      </c>
      <c r="C14" s="31">
        <v>0.35265028941251536</v>
      </c>
      <c r="D14" s="31">
        <v>0.34932388197846354</v>
      </c>
      <c r="E14" s="31">
        <v>0.34419782107499663</v>
      </c>
      <c r="F14" s="31">
        <v>0.34824736392134509</v>
      </c>
      <c r="G14" s="31">
        <v>0.35072147332447312</v>
      </c>
      <c r="H14" s="33">
        <v>0.35162858531842489</v>
      </c>
      <c r="I14" s="35">
        <f t="shared" ref="I14:N14" si="4">I4/I7</f>
        <v>0.33878920347684643</v>
      </c>
      <c r="J14" s="35">
        <f t="shared" si="4"/>
        <v>0.32064492018578827</v>
      </c>
      <c r="K14" s="35">
        <f t="shared" si="4"/>
        <v>0.32466487191585025</v>
      </c>
      <c r="L14" s="35">
        <f t="shared" si="4"/>
        <v>0.33723246093859577</v>
      </c>
      <c r="M14" s="35">
        <f t="shared" si="4"/>
        <v>0.33188491262919395</v>
      </c>
      <c r="N14" s="44">
        <f t="shared" si="4"/>
        <v>0.32817021276595743</v>
      </c>
      <c r="O14" s="44">
        <f>O4/O7</f>
        <v>0.37879343781120606</v>
      </c>
      <c r="P14" s="44">
        <f t="shared" ref="P14:Q14" si="5">P4/P7</f>
        <v>0.40635041664397364</v>
      </c>
      <c r="Q14" s="44">
        <f t="shared" si="5"/>
        <v>0.39714043471558502</v>
      </c>
      <c r="R14" s="44">
        <f t="shared" ref="R14" si="6">R4/R7</f>
        <v>0.40313092033103998</v>
      </c>
    </row>
    <row r="15" spans="2:18" x14ac:dyDescent="0.25">
      <c r="B15" s="4" t="s">
        <v>3</v>
      </c>
      <c r="C15" s="31">
        <v>7.7708399799462195E-3</v>
      </c>
      <c r="D15" s="31">
        <v>8.9622322053412203E-3</v>
      </c>
      <c r="E15" s="31">
        <v>9.8322860630170421E-3</v>
      </c>
      <c r="F15" s="31">
        <v>1.054431461954973E-2</v>
      </c>
      <c r="G15" s="31">
        <v>1.0774634516802734E-2</v>
      </c>
      <c r="H15" s="33">
        <v>1.2469615945551774E-2</v>
      </c>
      <c r="I15" s="35">
        <f t="shared" ref="I15:N15" si="7">I5/I7</f>
        <v>1.3419407309510497E-2</v>
      </c>
      <c r="J15" s="35">
        <f t="shared" si="7"/>
        <v>1.3987507340771982E-2</v>
      </c>
      <c r="K15" s="35">
        <f t="shared" si="7"/>
        <v>1.3904693180872027E-2</v>
      </c>
      <c r="L15" s="35">
        <f t="shared" si="7"/>
        <v>1.3717074812757721E-2</v>
      </c>
      <c r="M15" s="35">
        <f t="shared" si="7"/>
        <v>1.3035786337254416E-2</v>
      </c>
      <c r="N15" s="44">
        <f t="shared" si="7"/>
        <v>1.3685106382978724E-2</v>
      </c>
      <c r="O15" s="44">
        <f>O5/O7</f>
        <v>1.2264793752293097E-2</v>
      </c>
      <c r="P15" s="44">
        <f t="shared" ref="P15:Q15" si="8">P5/P7</f>
        <v>1.3724742661075104E-2</v>
      </c>
      <c r="Q15" s="44">
        <f t="shared" si="8"/>
        <v>1.3565592723909357E-2</v>
      </c>
      <c r="R15" s="44">
        <f t="shared" ref="R15" si="9">R5/R7</f>
        <v>1.3726858776215642E-2</v>
      </c>
    </row>
    <row r="16" spans="2:18" x14ac:dyDescent="0.25">
      <c r="B16" s="4" t="s">
        <v>4</v>
      </c>
      <c r="C16" s="31">
        <v>0.43578232532701333</v>
      </c>
      <c r="D16" s="31">
        <v>0.43416032688443912</v>
      </c>
      <c r="E16" s="31">
        <v>0.43605623615568917</v>
      </c>
      <c r="F16" s="31">
        <v>0.42675976061555998</v>
      </c>
      <c r="G16" s="31">
        <v>0.43157869755078793</v>
      </c>
      <c r="H16" s="33">
        <v>0.42654350996596985</v>
      </c>
      <c r="I16" s="35">
        <f t="shared" ref="I16:N16" si="10">I6/I7</f>
        <v>0.43702028160422912</v>
      </c>
      <c r="J16" s="35">
        <f t="shared" si="10"/>
        <v>0.44856120869147403</v>
      </c>
      <c r="K16" s="35">
        <f t="shared" si="10"/>
        <v>0.44048180733257475</v>
      </c>
      <c r="L16" s="35">
        <f t="shared" si="10"/>
        <v>0.42001178153664898</v>
      </c>
      <c r="M16" s="35">
        <f t="shared" si="10"/>
        <v>0.42720134082373756</v>
      </c>
      <c r="N16" s="44">
        <f t="shared" si="10"/>
        <v>0.42420425531914896</v>
      </c>
      <c r="O16" s="44">
        <f>O6/O7</f>
        <v>0.37056449499449656</v>
      </c>
      <c r="P16" s="44">
        <f t="shared" ref="P16:Q16" si="11">P6/P7</f>
        <v>0.33919721148085619</v>
      </c>
      <c r="Q16" s="44">
        <f t="shared" si="11"/>
        <v>0.31967781717280713</v>
      </c>
      <c r="R16" s="44">
        <f t="shared" ref="R16" si="12">R6/R7</f>
        <v>0.30328713397813006</v>
      </c>
    </row>
    <row r="17" spans="2:25" x14ac:dyDescent="0.25">
      <c r="B17" s="8" t="s">
        <v>5</v>
      </c>
      <c r="C17" s="9">
        <f>SUM(C13:C16)</f>
        <v>1</v>
      </c>
      <c r="D17" s="9">
        <f>SUM(D13:D16)</f>
        <v>1</v>
      </c>
      <c r="E17" s="9">
        <f>SUM(E13:E16)</f>
        <v>1</v>
      </c>
      <c r="F17" s="9">
        <f>SUM(F13:F16)</f>
        <v>1</v>
      </c>
      <c r="G17" s="9">
        <f>G7/G7</f>
        <v>1</v>
      </c>
      <c r="H17" s="41">
        <f t="shared" ref="H17:M17" si="13">SUM(H13:H16)</f>
        <v>1</v>
      </c>
      <c r="I17" s="41">
        <f t="shared" si="13"/>
        <v>1</v>
      </c>
      <c r="J17" s="41">
        <f t="shared" si="13"/>
        <v>1</v>
      </c>
      <c r="K17" s="41">
        <f t="shared" si="13"/>
        <v>1</v>
      </c>
      <c r="L17" s="41">
        <f t="shared" si="13"/>
        <v>1</v>
      </c>
      <c r="M17" s="41">
        <f t="shared" si="13"/>
        <v>1</v>
      </c>
      <c r="N17" s="41">
        <f>SUM(N13:N16)</f>
        <v>1</v>
      </c>
      <c r="O17" s="41">
        <f>SUM(O13:O16)</f>
        <v>1</v>
      </c>
      <c r="P17" s="41">
        <f t="shared" ref="P17" si="14">SUM(P13:P16)</f>
        <v>1</v>
      </c>
      <c r="Q17" s="41">
        <f>SUM(Q13:Q16)</f>
        <v>1</v>
      </c>
      <c r="R17" s="41">
        <f>SUM(R13:R16)</f>
        <v>1</v>
      </c>
    </row>
    <row r="18" spans="2:25" x14ac:dyDescent="0.25">
      <c r="I18" s="34"/>
    </row>
    <row r="19" spans="2:25" x14ac:dyDescent="0.25">
      <c r="B19" s="7" t="s">
        <v>6</v>
      </c>
    </row>
    <row r="20" spans="2:25" x14ac:dyDescent="0.25">
      <c r="B20" s="42"/>
      <c r="C20" s="43">
        <v>2008</v>
      </c>
      <c r="D20" s="43">
        <v>2009</v>
      </c>
      <c r="E20" s="43">
        <v>2010</v>
      </c>
      <c r="F20" s="43">
        <v>2011</v>
      </c>
      <c r="G20" s="43">
        <v>2012</v>
      </c>
      <c r="H20" s="43">
        <v>2013</v>
      </c>
      <c r="I20" s="43">
        <v>2014</v>
      </c>
      <c r="J20" s="43">
        <v>2015</v>
      </c>
      <c r="K20" s="43">
        <v>2016</v>
      </c>
      <c r="L20" s="43">
        <v>2017</v>
      </c>
      <c r="M20" s="43">
        <v>2018</v>
      </c>
      <c r="N20" s="43">
        <v>2019</v>
      </c>
      <c r="O20" s="53" t="s">
        <v>48</v>
      </c>
      <c r="P20" s="43">
        <v>2021</v>
      </c>
      <c r="Q20" s="43">
        <v>2022</v>
      </c>
      <c r="R20" s="43">
        <v>2023</v>
      </c>
      <c r="S20" s="43">
        <v>2024</v>
      </c>
      <c r="T20" s="43">
        <v>2025</v>
      </c>
      <c r="U20" s="43">
        <v>2026</v>
      </c>
      <c r="V20" s="43">
        <v>2027</v>
      </c>
      <c r="W20" s="43">
        <v>2028</v>
      </c>
      <c r="X20" s="43">
        <v>2029</v>
      </c>
      <c r="Y20" s="43">
        <v>2030</v>
      </c>
    </row>
    <row r="21" spans="2:25" x14ac:dyDescent="0.25">
      <c r="B21" s="4" t="s">
        <v>1</v>
      </c>
      <c r="C21" s="26">
        <v>58264</v>
      </c>
      <c r="D21" s="26">
        <v>61449</v>
      </c>
      <c r="E21" s="26">
        <v>61198</v>
      </c>
      <c r="F21" s="26">
        <v>62799</v>
      </c>
      <c r="G21" s="26">
        <v>65559</v>
      </c>
      <c r="H21" s="26">
        <v>67949</v>
      </c>
      <c r="I21" s="38">
        <v>72485</v>
      </c>
      <c r="J21" s="38">
        <v>76259</v>
      </c>
      <c r="K21" s="39">
        <v>75042</v>
      </c>
      <c r="L21" s="38">
        <v>78916</v>
      </c>
      <c r="M21" s="38">
        <v>79120</v>
      </c>
      <c r="N21" s="38">
        <f>SUM(73561,9810)</f>
        <v>83371</v>
      </c>
      <c r="O21" s="51">
        <f>MEDIAN(N21,P21)</f>
        <v>82488</v>
      </c>
      <c r="P21" s="52">
        <v>81605</v>
      </c>
      <c r="Q21" s="26">
        <v>84827</v>
      </c>
      <c r="R21" s="26">
        <v>88536</v>
      </c>
      <c r="S21" s="51">
        <f t="shared" ref="S21" si="15">SUM(73561,9810)</f>
        <v>83371</v>
      </c>
      <c r="T21" s="51">
        <v>85431.3</v>
      </c>
    </row>
    <row r="22" spans="2:25" x14ac:dyDescent="0.25">
      <c r="B22" s="4" t="s">
        <v>2</v>
      </c>
      <c r="C22" s="26">
        <f>114992+4656+90415+5976</f>
        <v>216039</v>
      </c>
      <c r="D22" s="26">
        <f>121240+5086+95581+6533</f>
        <v>228440</v>
      </c>
      <c r="E22" s="26">
        <f>346529-(59195+56685)</f>
        <v>230649</v>
      </c>
      <c r="F22" s="26">
        <f>360086-(61586+58702)</f>
        <v>239798</v>
      </c>
      <c r="G22" s="26">
        <f>370741-(62981+60155)</f>
        <v>247605</v>
      </c>
      <c r="H22" s="26">
        <f>379331-(63233+59986)</f>
        <v>256112</v>
      </c>
      <c r="I22" s="38">
        <v>264791</v>
      </c>
      <c r="J22" s="38">
        <v>272445</v>
      </c>
      <c r="K22" s="38">
        <v>279017</v>
      </c>
      <c r="L22" s="38">
        <v>289207</v>
      </c>
      <c r="M22" s="38">
        <v>296980</v>
      </c>
      <c r="N22" s="26">
        <f>SUM(280944,23382)</f>
        <v>304326</v>
      </c>
      <c r="O22" s="51">
        <f t="shared" ref="O22:O24" si="16">MEDIAN(N22,P22)</f>
        <v>309594</v>
      </c>
      <c r="P22" s="26">
        <v>314862</v>
      </c>
      <c r="Q22" s="26">
        <v>321371</v>
      </c>
      <c r="R22" s="26">
        <v>318808</v>
      </c>
      <c r="S22" s="51">
        <f t="shared" ref="S22" si="17">SUM(280944,23382)</f>
        <v>304326</v>
      </c>
      <c r="T22" s="51">
        <v>338879</v>
      </c>
    </row>
    <row r="23" spans="2:25" x14ac:dyDescent="0.25">
      <c r="B23" s="4" t="s">
        <v>3</v>
      </c>
      <c r="C23" s="26">
        <f>21078+588+19358+1177+7973+498+6261+357</f>
        <v>57290</v>
      </c>
      <c r="D23" s="26">
        <f>2300+158+1763+389+21277+1019+19838+1257+5190</f>
        <v>53191</v>
      </c>
      <c r="E23" s="26">
        <f>(393891+390356)-(E21+E22+E24)</f>
        <v>60802</v>
      </c>
      <c r="F23" s="26">
        <f>(406610+402410)-(F21+F22+F24)</f>
        <v>63032</v>
      </c>
      <c r="G23" s="26">
        <f>(420033+415443)-(G21+G22+G24)</f>
        <v>67147</v>
      </c>
      <c r="H23" s="26">
        <f>(431642+427908)-(H21+H22+H24)</f>
        <v>68957</v>
      </c>
      <c r="I23" s="38">
        <f>(444451+441485)-(I21+I22+I24)</f>
        <v>71848</v>
      </c>
      <c r="J23" s="38">
        <f>(455389+453227)-(J21+J22+J24)</f>
        <v>73975</v>
      </c>
      <c r="K23" s="38">
        <f>(466817+462669)-(K21+K22+K24)</f>
        <v>80478</v>
      </c>
      <c r="L23" s="38">
        <f>(481099+474196)-(L21+L22+L24)</f>
        <v>84075</v>
      </c>
      <c r="M23" s="38">
        <f>(493141+485067)-(M21+M22+M24)</f>
        <v>90051</v>
      </c>
      <c r="N23" s="38">
        <f>(505374+498638)-(N21+N22+N24)</f>
        <v>92583</v>
      </c>
      <c r="O23" s="51">
        <f t="shared" si="16"/>
        <v>105544</v>
      </c>
      <c r="P23" s="26">
        <v>118505</v>
      </c>
      <c r="Q23" s="26">
        <f>(1062386-(SUM(Q21:Q22,Q24)))</f>
        <v>126095</v>
      </c>
      <c r="R23" s="26">
        <f>(1072008-(SUM(R21:R22,R24)))</f>
        <v>131389</v>
      </c>
      <c r="S23" s="51">
        <v>116984.7</v>
      </c>
      <c r="T23" s="51">
        <v>121663.6</v>
      </c>
    </row>
    <row r="24" spans="2:25" x14ac:dyDescent="0.25">
      <c r="B24" s="4" t="s">
        <v>4</v>
      </c>
      <c r="C24" s="26">
        <f>189995+21008+177042+27215</f>
        <v>415260</v>
      </c>
      <c r="D24" s="30">
        <f>197282+22007+187047+28093</f>
        <v>434429</v>
      </c>
      <c r="E24" s="26">
        <f>519591-(45363+42630)</f>
        <v>431598</v>
      </c>
      <c r="F24" s="26">
        <f>533671-(46510+43770)</f>
        <v>443391</v>
      </c>
      <c r="G24" s="26">
        <f>547393-(47385+44843)</f>
        <v>455165</v>
      </c>
      <c r="H24" s="26">
        <f>559293-(47814+44947)</f>
        <v>466532</v>
      </c>
      <c r="I24" s="38">
        <v>476812</v>
      </c>
      <c r="J24" s="38">
        <v>485937</v>
      </c>
      <c r="K24" s="39">
        <v>494949</v>
      </c>
      <c r="L24" s="38">
        <v>503097</v>
      </c>
      <c r="M24" s="38">
        <v>512057</v>
      </c>
      <c r="N24" s="26">
        <f>SUM(435473,88259)</f>
        <v>523732</v>
      </c>
      <c r="O24" s="51">
        <f t="shared" si="16"/>
        <v>522102.5</v>
      </c>
      <c r="P24" s="26">
        <v>520473</v>
      </c>
      <c r="Q24" s="56">
        <v>530093</v>
      </c>
      <c r="R24" s="56">
        <v>533275</v>
      </c>
      <c r="S24" s="57">
        <v>558440.23982509505</v>
      </c>
      <c r="T24" s="57">
        <v>558440.23982509505</v>
      </c>
    </row>
    <row r="25" spans="2:25" x14ac:dyDescent="0.25">
      <c r="B25" s="8" t="s">
        <v>5</v>
      </c>
      <c r="C25" s="29">
        <f t="shared" ref="C25:H25" si="18">SUM(C21:C24)</f>
        <v>746853</v>
      </c>
      <c r="D25" s="29">
        <f t="shared" si="18"/>
        <v>777509</v>
      </c>
      <c r="E25" s="29">
        <f t="shared" si="18"/>
        <v>784247</v>
      </c>
      <c r="F25" s="29">
        <f t="shared" si="18"/>
        <v>809020</v>
      </c>
      <c r="G25" s="40">
        <f t="shared" si="18"/>
        <v>835476</v>
      </c>
      <c r="H25" s="29">
        <f t="shared" si="18"/>
        <v>859550</v>
      </c>
      <c r="I25" s="29">
        <f t="shared" ref="I25:M25" si="19">SUM(I21:I24)</f>
        <v>885936</v>
      </c>
      <c r="J25" s="29">
        <f t="shared" si="19"/>
        <v>908616</v>
      </c>
      <c r="K25" s="29">
        <f t="shared" si="19"/>
        <v>929486</v>
      </c>
      <c r="L25" s="29">
        <f t="shared" si="19"/>
        <v>955295</v>
      </c>
      <c r="M25" s="29">
        <f t="shared" si="19"/>
        <v>978208</v>
      </c>
      <c r="N25" s="29">
        <f>SUM(N21:N24)</f>
        <v>1004012</v>
      </c>
      <c r="O25" s="29">
        <f>SUM(O21:O24)</f>
        <v>1019728.5</v>
      </c>
      <c r="P25" s="29">
        <f>SUM(P21:P24)</f>
        <v>1035445</v>
      </c>
      <c r="Q25" s="26">
        <v>1071397.35198135</v>
      </c>
      <c r="R25" s="29">
        <f>SUM(R21:R24)</f>
        <v>1072008</v>
      </c>
      <c r="S25" s="50">
        <v>1118114.21911422</v>
      </c>
      <c r="T25" s="50">
        <v>1141472.6526806499</v>
      </c>
    </row>
    <row r="27" spans="2:25" x14ac:dyDescent="0.25">
      <c r="B27" s="7" t="s">
        <v>7</v>
      </c>
    </row>
    <row r="28" spans="2:25" x14ac:dyDescent="0.25">
      <c r="B28" s="42"/>
      <c r="C28" s="43">
        <v>2008</v>
      </c>
      <c r="D28" s="43">
        <v>2009</v>
      </c>
      <c r="E28" s="43">
        <v>2010</v>
      </c>
      <c r="F28" s="43">
        <v>2011</v>
      </c>
      <c r="G28" s="43">
        <v>2012</v>
      </c>
      <c r="H28" s="43">
        <v>2013</v>
      </c>
      <c r="I28" s="43">
        <v>2014</v>
      </c>
      <c r="J28" s="43">
        <v>2015</v>
      </c>
      <c r="K28" s="43">
        <v>2016</v>
      </c>
      <c r="L28" s="43">
        <v>2017</v>
      </c>
      <c r="M28" s="43">
        <v>2018</v>
      </c>
      <c r="N28" s="43">
        <v>2019</v>
      </c>
      <c r="O28" s="53" t="s">
        <v>48</v>
      </c>
      <c r="P28" s="43">
        <v>2021</v>
      </c>
      <c r="Q28" s="43">
        <v>2022</v>
      </c>
      <c r="R28" s="43">
        <v>2023</v>
      </c>
    </row>
    <row r="29" spans="2:25" x14ac:dyDescent="0.25">
      <c r="B29" s="4" t="s">
        <v>8</v>
      </c>
      <c r="C29" s="31">
        <f t="shared" ref="C29:H29" si="20">C21/C25</f>
        <v>7.8012674515600788E-2</v>
      </c>
      <c r="D29" s="31">
        <f t="shared" si="20"/>
        <v>7.9033168747885879E-2</v>
      </c>
      <c r="E29" s="31">
        <f t="shared" si="20"/>
        <v>7.8034088750100414E-2</v>
      </c>
      <c r="F29" s="31">
        <f t="shared" si="20"/>
        <v>7.762354453536377E-2</v>
      </c>
      <c r="G29" s="31">
        <f t="shared" si="20"/>
        <v>7.8469040403314996E-2</v>
      </c>
      <c r="H29" s="31">
        <f t="shared" si="20"/>
        <v>7.9051829445640154E-2</v>
      </c>
      <c r="I29" s="35">
        <f t="shared" ref="I29:N29" si="21">I21/I25</f>
        <v>8.1817422477470161E-2</v>
      </c>
      <c r="J29" s="35">
        <f t="shared" si="21"/>
        <v>8.3928744376062056E-2</v>
      </c>
      <c r="K29" s="35">
        <f t="shared" si="21"/>
        <v>8.0734943829170097E-2</v>
      </c>
      <c r="L29" s="35">
        <f t="shared" si="21"/>
        <v>8.2609036999042179E-2</v>
      </c>
      <c r="M29" s="35">
        <f>M21/M25</f>
        <v>8.0882593477051914E-2</v>
      </c>
      <c r="N29" s="35">
        <f t="shared" si="21"/>
        <v>8.3037852137225449E-2</v>
      </c>
      <c r="O29" s="31">
        <f>O21/O25</f>
        <v>8.089211981424467E-2</v>
      </c>
      <c r="P29" s="35">
        <f>P21/P25</f>
        <v>7.8811525479383263E-2</v>
      </c>
      <c r="Q29" s="35">
        <f>Q21/Q25</f>
        <v>7.9174173655673363E-2</v>
      </c>
      <c r="R29" s="35">
        <f>R21/R25</f>
        <v>8.2588935903463404E-2</v>
      </c>
    </row>
    <row r="30" spans="2:25" x14ac:dyDescent="0.25">
      <c r="B30" s="4" t="s">
        <v>2</v>
      </c>
      <c r="C30" s="31">
        <f t="shared" ref="C30:H30" si="22">C22/C25</f>
        <v>0.28926575912528973</v>
      </c>
      <c r="D30" s="31">
        <f t="shared" si="22"/>
        <v>0.29381010380587236</v>
      </c>
      <c r="E30" s="31">
        <f t="shared" si="22"/>
        <v>0.29410249576982761</v>
      </c>
      <c r="F30" s="31">
        <f t="shared" si="22"/>
        <v>0.29640552767545919</v>
      </c>
      <c r="G30" s="31">
        <f t="shared" si="22"/>
        <v>0.29636398891171023</v>
      </c>
      <c r="H30" s="31">
        <f t="shared" si="22"/>
        <v>0.29796056075853644</v>
      </c>
      <c r="I30" s="35">
        <f t="shared" ref="I30:O30" si="23">I22/I25</f>
        <v>0.29888276354048149</v>
      </c>
      <c r="J30" s="35">
        <f t="shared" si="23"/>
        <v>0.29984613962333923</v>
      </c>
      <c r="K30" s="35">
        <f t="shared" si="23"/>
        <v>0.30018418781993489</v>
      </c>
      <c r="L30" s="35">
        <f t="shared" si="23"/>
        <v>0.30274103810864705</v>
      </c>
      <c r="M30" s="35">
        <f t="shared" si="23"/>
        <v>0.30359596323072391</v>
      </c>
      <c r="N30" s="35">
        <f t="shared" si="23"/>
        <v>0.30310992298896827</v>
      </c>
      <c r="O30" s="31">
        <f t="shared" si="23"/>
        <v>0.30360434174390538</v>
      </c>
      <c r="P30" s="35">
        <f t="shared" ref="P30" si="24">P22/P25</f>
        <v>0.30408375143054434</v>
      </c>
      <c r="Q30" s="35">
        <f t="shared" ref="Q30:R30" si="25">Q22/Q25</f>
        <v>0.29995500680087006</v>
      </c>
      <c r="R30" s="35">
        <f t="shared" si="25"/>
        <v>0.29739330303505196</v>
      </c>
    </row>
    <row r="31" spans="2:25" x14ac:dyDescent="0.25">
      <c r="B31" s="4" t="s">
        <v>9</v>
      </c>
      <c r="C31" s="31">
        <f t="shared" ref="C31:H31" si="26">C23/C25</f>
        <v>7.6708535682389972E-2</v>
      </c>
      <c r="D31" s="31">
        <f t="shared" si="26"/>
        <v>6.8412069828130612E-2</v>
      </c>
      <c r="E31" s="31">
        <f t="shared" si="26"/>
        <v>7.7529145792078258E-2</v>
      </c>
      <c r="F31" s="31">
        <f t="shared" si="26"/>
        <v>7.7911547304145762E-2</v>
      </c>
      <c r="G31" s="31">
        <f t="shared" si="26"/>
        <v>8.0369753290339879E-2</v>
      </c>
      <c r="H31" s="31">
        <f t="shared" si="26"/>
        <v>8.022453609446803E-2</v>
      </c>
      <c r="I31" s="35">
        <f t="shared" ref="I31:O31" si="27">I23/I25</f>
        <v>8.109840891441368E-2</v>
      </c>
      <c r="J31" s="35">
        <f t="shared" si="27"/>
        <v>8.1415031212305311E-2</v>
      </c>
      <c r="K31" s="35">
        <f t="shared" si="27"/>
        <v>8.6583337457476497E-2</v>
      </c>
      <c r="L31" s="35">
        <f t="shared" si="27"/>
        <v>8.8009463045446698E-2</v>
      </c>
      <c r="M31" s="35">
        <f t="shared" si="27"/>
        <v>9.2057108508619839E-2</v>
      </c>
      <c r="N31" s="35">
        <f t="shared" si="27"/>
        <v>9.2213041278391097E-2</v>
      </c>
      <c r="O31" s="31">
        <f t="shared" si="27"/>
        <v>0.103502059616849</v>
      </c>
      <c r="P31" s="35">
        <f t="shared" ref="P31" si="28">P23/P25</f>
        <v>0.11444837726774479</v>
      </c>
      <c r="Q31" s="35">
        <f t="shared" ref="Q31:R31" si="29">Q23/Q25</f>
        <v>0.11769209599670073</v>
      </c>
      <c r="R31" s="35">
        <f t="shared" si="29"/>
        <v>0.12256345101902225</v>
      </c>
    </row>
    <row r="32" spans="2:25" x14ac:dyDescent="0.25">
      <c r="B32" s="4" t="s">
        <v>4</v>
      </c>
      <c r="C32" s="31">
        <f t="shared" ref="C32:H32" si="30">C24/C25</f>
        <v>0.55601303067671948</v>
      </c>
      <c r="D32" s="31">
        <f t="shared" si="30"/>
        <v>0.55874465761811121</v>
      </c>
      <c r="E32" s="31">
        <f t="shared" si="30"/>
        <v>0.5503342696879937</v>
      </c>
      <c r="F32" s="31">
        <f t="shared" si="30"/>
        <v>0.54805938048503122</v>
      </c>
      <c r="G32" s="31">
        <f t="shared" si="30"/>
        <v>0.54479721739463494</v>
      </c>
      <c r="H32" s="31">
        <f t="shared" si="30"/>
        <v>0.54276307370135535</v>
      </c>
      <c r="I32" s="35">
        <f t="shared" ref="I32:M32" si="31">I24/I25</f>
        <v>0.5382014050676347</v>
      </c>
      <c r="J32" s="35">
        <f t="shared" si="31"/>
        <v>0.53481008478829339</v>
      </c>
      <c r="K32" s="35">
        <f t="shared" si="31"/>
        <v>0.53249753089341856</v>
      </c>
      <c r="L32" s="35">
        <f t="shared" si="31"/>
        <v>0.52664046184686408</v>
      </c>
      <c r="M32" s="35">
        <f t="shared" si="31"/>
        <v>0.52346433478360432</v>
      </c>
      <c r="N32" s="35">
        <f>N24/N25</f>
        <v>0.52163918359541517</v>
      </c>
      <c r="O32" s="31">
        <f>O24/O25</f>
        <v>0.51200147882500102</v>
      </c>
      <c r="P32" s="35">
        <f t="shared" ref="P32" si="32">P24/P25</f>
        <v>0.50265634582232754</v>
      </c>
      <c r="Q32" s="35">
        <f t="shared" ref="Q32:R32" si="33">Q24/Q25</f>
        <v>0.49476788328783122</v>
      </c>
      <c r="R32" s="35">
        <f t="shared" si="33"/>
        <v>0.49745431004246238</v>
      </c>
    </row>
    <row r="33" spans="2:18" x14ac:dyDescent="0.25">
      <c r="I33" s="1"/>
    </row>
    <row r="34" spans="2:18" x14ac:dyDescent="0.25">
      <c r="B34" s="7" t="s">
        <v>10</v>
      </c>
      <c r="I34" s="1"/>
    </row>
    <row r="35" spans="2:18" x14ac:dyDescent="0.25">
      <c r="B35" s="43"/>
      <c r="C35" s="43">
        <v>2008</v>
      </c>
      <c r="D35" s="43">
        <v>2009</v>
      </c>
      <c r="E35" s="43">
        <v>2010</v>
      </c>
      <c r="F35" s="43">
        <v>2011</v>
      </c>
      <c r="G35" s="43">
        <v>2012</v>
      </c>
      <c r="H35" s="43">
        <v>2013</v>
      </c>
      <c r="I35" s="43">
        <v>2014</v>
      </c>
      <c r="J35" s="43">
        <v>2015</v>
      </c>
      <c r="K35" s="43">
        <v>2016</v>
      </c>
      <c r="L35" s="43">
        <v>2017</v>
      </c>
      <c r="M35" s="43">
        <v>2018</v>
      </c>
      <c r="N35" s="43">
        <v>2019</v>
      </c>
      <c r="O35" s="53" t="s">
        <v>48</v>
      </c>
      <c r="P35" s="43">
        <v>2021</v>
      </c>
      <c r="Q35" s="43">
        <v>2022</v>
      </c>
      <c r="R35" s="43">
        <v>2023</v>
      </c>
    </row>
    <row r="36" spans="2:18" x14ac:dyDescent="0.25">
      <c r="B36" s="4" t="s">
        <v>8</v>
      </c>
      <c r="C36" s="37">
        <f t="shared" ref="C36:N36" si="34">C13/C29</f>
        <v>2.6123517306123158</v>
      </c>
      <c r="D36" s="37">
        <f t="shared" si="34"/>
        <v>2.6261576274873595</v>
      </c>
      <c r="E36" s="37">
        <f t="shared" si="34"/>
        <v>2.6900250911948667</v>
      </c>
      <c r="F36" s="37">
        <f t="shared" si="34"/>
        <v>2.7626741619077517</v>
      </c>
      <c r="G36" s="37">
        <f t="shared" si="34"/>
        <v>2.6370297577794064</v>
      </c>
      <c r="H36" s="37">
        <f t="shared" si="34"/>
        <v>2.6483674095615752</v>
      </c>
      <c r="I36" s="37">
        <f t="shared" si="34"/>
        <v>2.5761152237159926</v>
      </c>
      <c r="J36" s="37">
        <f t="shared" si="34"/>
        <v>2.5832194368417438</v>
      </c>
      <c r="K36" s="37">
        <f t="shared" si="34"/>
        <v>2.7367161862181506</v>
      </c>
      <c r="L36" s="37">
        <f t="shared" si="34"/>
        <v>2.7725620710801064</v>
      </c>
      <c r="M36" s="54">
        <f t="shared" si="34"/>
        <v>2.8173918566850582</v>
      </c>
      <c r="N36" s="54">
        <f t="shared" si="34"/>
        <v>2.81727452614397</v>
      </c>
      <c r="O36" s="37">
        <f>O13/O29</f>
        <v>2.9468540815767734</v>
      </c>
      <c r="P36" s="37">
        <f>P13/P29</f>
        <v>3.0544723979117543</v>
      </c>
      <c r="Q36" s="37">
        <f>Q13/Q29</f>
        <v>3.4053548390697808</v>
      </c>
      <c r="R36" s="37">
        <f>R13/R29</f>
        <v>3.3885299992450739</v>
      </c>
    </row>
    <row r="37" spans="2:18" x14ac:dyDescent="0.25">
      <c r="B37" s="4" t="s">
        <v>2</v>
      </c>
      <c r="C37" s="37">
        <f t="shared" ref="C37:H39" si="35">C14/C30</f>
        <v>1.2191221334972173</v>
      </c>
      <c r="D37" s="37">
        <f t="shared" si="35"/>
        <v>1.1889444149588215</v>
      </c>
      <c r="E37" s="37">
        <f t="shared" si="35"/>
        <v>1.1703328806307545</v>
      </c>
      <c r="F37" s="37">
        <f t="shared" si="35"/>
        <v>1.1749017187784994</v>
      </c>
      <c r="G37" s="37">
        <f t="shared" si="35"/>
        <v>1.1834146065194058</v>
      </c>
      <c r="H37" s="37">
        <f t="shared" si="35"/>
        <v>1.1801178801089058</v>
      </c>
      <c r="I37" s="37">
        <f t="shared" ref="I37:O39" si="36">I14/I30</f>
        <v>1.1335187063437331</v>
      </c>
      <c r="J37" s="37">
        <f t="shared" si="36"/>
        <v>1.0693648435446794</v>
      </c>
      <c r="K37" s="37">
        <f t="shared" si="36"/>
        <v>1.0815522105734632</v>
      </c>
      <c r="L37" s="37">
        <f t="shared" si="36"/>
        <v>1.1139304504121126</v>
      </c>
      <c r="M37" s="54">
        <f t="shared" si="36"/>
        <v>1.0931795966502074</v>
      </c>
      <c r="N37" s="54">
        <f t="shared" si="36"/>
        <v>1.0826772331630372</v>
      </c>
      <c r="O37" s="37">
        <f t="shared" si="36"/>
        <v>1.2476548775139842</v>
      </c>
      <c r="P37" s="37">
        <f t="shared" ref="P37:Q37" si="37">P14/P30</f>
        <v>1.3363108509820789</v>
      </c>
      <c r="Q37" s="37">
        <f t="shared" si="37"/>
        <v>1.3240000190402992</v>
      </c>
      <c r="R37" s="37">
        <f t="shared" ref="R37" si="38">R14/R30</f>
        <v>1.3555480779724396</v>
      </c>
    </row>
    <row r="38" spans="2:18" x14ac:dyDescent="0.25">
      <c r="B38" s="4" t="s">
        <v>3</v>
      </c>
      <c r="C38" s="37">
        <f t="shared" si="35"/>
        <v>0.1013034587457283</v>
      </c>
      <c r="D38" s="37">
        <f t="shared" si="35"/>
        <v>0.1310036697889238</v>
      </c>
      <c r="E38" s="37">
        <f t="shared" si="35"/>
        <v>0.12682051327362465</v>
      </c>
      <c r="F38" s="37">
        <f t="shared" si="35"/>
        <v>0.1353369941221621</v>
      </c>
      <c r="G38" s="37">
        <f t="shared" si="35"/>
        <v>0.13406330212161796</v>
      </c>
      <c r="H38" s="37">
        <f t="shared" si="35"/>
        <v>0.15543394268890798</v>
      </c>
      <c r="I38" s="37">
        <f t="shared" si="36"/>
        <v>0.16547066075824646</v>
      </c>
      <c r="J38" s="37">
        <f t="shared" si="36"/>
        <v>0.17180497424728455</v>
      </c>
      <c r="K38" s="37">
        <f t="shared" si="36"/>
        <v>0.16059317634528711</v>
      </c>
      <c r="L38" s="37">
        <f t="shared" si="36"/>
        <v>0.15585908989894007</v>
      </c>
      <c r="M38" s="54">
        <f t="shared" si="36"/>
        <v>0.14160542893907863</v>
      </c>
      <c r="N38" s="54">
        <f t="shared" si="36"/>
        <v>0.14840749413809484</v>
      </c>
      <c r="O38" s="37">
        <f t="shared" si="36"/>
        <v>0.11849806465393781</v>
      </c>
      <c r="P38" s="37">
        <f t="shared" ref="P38:Q38" si="39">P15/P31</f>
        <v>0.11992081485757487</v>
      </c>
      <c r="Q38" s="37">
        <f t="shared" si="39"/>
        <v>0.11526341347756813</v>
      </c>
      <c r="R38" s="37">
        <f t="shared" ref="R38" si="40">R15/R31</f>
        <v>0.11199797869664414</v>
      </c>
    </row>
    <row r="39" spans="2:18" x14ac:dyDescent="0.25">
      <c r="B39" s="4" t="s">
        <v>4</v>
      </c>
      <c r="C39" s="37">
        <f t="shared" si="35"/>
        <v>0.78376279202777999</v>
      </c>
      <c r="D39" s="37">
        <f t="shared" si="35"/>
        <v>0.77702814866317249</v>
      </c>
      <c r="E39" s="37">
        <f t="shared" si="35"/>
        <v>0.79234796045484635</v>
      </c>
      <c r="F39" s="37">
        <f t="shared" si="35"/>
        <v>0.77867431123590769</v>
      </c>
      <c r="G39" s="37">
        <f t="shared" si="35"/>
        <v>0.79218227217589687</v>
      </c>
      <c r="H39" s="37">
        <f t="shared" si="35"/>
        <v>0.78587422511478178</v>
      </c>
      <c r="I39" s="37">
        <f t="shared" si="36"/>
        <v>0.81200137623072477</v>
      </c>
      <c r="J39" s="37">
        <f t="shared" si="36"/>
        <v>0.83872989954749766</v>
      </c>
      <c r="K39" s="37">
        <f t="shared" si="36"/>
        <v>0.82719971789078373</v>
      </c>
      <c r="L39" s="37">
        <f t="shared" si="36"/>
        <v>0.79753040634917927</v>
      </c>
      <c r="M39" s="54">
        <f t="shared" si="36"/>
        <v>0.81610400639871472</v>
      </c>
      <c r="N39" s="54">
        <f t="shared" si="36"/>
        <v>0.81321393917402296</v>
      </c>
      <c r="O39" s="37">
        <f t="shared" si="36"/>
        <v>0.723756688837911</v>
      </c>
      <c r="P39" s="37">
        <f t="shared" ref="P39:Q39" si="41">P16/P32</f>
        <v>0.67480936886600296</v>
      </c>
      <c r="Q39" s="37">
        <f t="shared" si="41"/>
        <v>0.64611675084583964</v>
      </c>
      <c r="R39" s="37">
        <f t="shared" ref="R39" si="42">R16/R32</f>
        <v>0.60967837217500775</v>
      </c>
    </row>
    <row r="41" spans="2:18" x14ac:dyDescent="0.25">
      <c r="B41" s="7" t="s">
        <v>11</v>
      </c>
    </row>
    <row r="42" spans="2:18" x14ac:dyDescent="0.25">
      <c r="B42" s="43"/>
      <c r="C42" s="43">
        <v>2008</v>
      </c>
      <c r="D42" s="43">
        <v>2009</v>
      </c>
      <c r="E42" s="43">
        <v>2010</v>
      </c>
      <c r="F42" s="43">
        <v>2011</v>
      </c>
      <c r="G42" s="43">
        <v>2012</v>
      </c>
      <c r="H42" s="43">
        <v>2013</v>
      </c>
      <c r="I42" s="43">
        <v>2014</v>
      </c>
      <c r="J42" s="43">
        <v>2015</v>
      </c>
      <c r="K42" s="43">
        <v>2016</v>
      </c>
      <c r="L42" s="43">
        <v>2017</v>
      </c>
      <c r="M42" s="43">
        <v>2018</v>
      </c>
      <c r="N42" s="43">
        <v>2019</v>
      </c>
      <c r="O42" s="43" t="s">
        <v>48</v>
      </c>
      <c r="P42" s="43">
        <v>2021</v>
      </c>
      <c r="Q42" s="43">
        <v>2022</v>
      </c>
      <c r="R42" s="43">
        <v>2023</v>
      </c>
    </row>
    <row r="43" spans="2:18" x14ac:dyDescent="0.25">
      <c r="B43" s="4" t="s">
        <v>12</v>
      </c>
      <c r="C43" s="6">
        <f>2.5/0.8</f>
        <v>3.125</v>
      </c>
      <c r="D43" s="6">
        <f t="shared" ref="D43:J43" si="43">D36/D39</f>
        <v>3.3797458071570468</v>
      </c>
      <c r="E43" s="6">
        <f t="shared" si="43"/>
        <v>3.395004752269017</v>
      </c>
      <c r="F43" s="6">
        <f t="shared" si="43"/>
        <v>3.5479199994704462</v>
      </c>
      <c r="G43" s="6">
        <f t="shared" si="43"/>
        <v>3.3288169281246902</v>
      </c>
      <c r="H43" s="6">
        <f t="shared" si="43"/>
        <v>3.3699634431639045</v>
      </c>
      <c r="I43" s="6">
        <f t="shared" si="43"/>
        <v>3.1725503171856775</v>
      </c>
      <c r="J43" s="6">
        <f t="shared" si="43"/>
        <v>3.0799181455620146</v>
      </c>
      <c r="K43" s="6">
        <f t="shared" ref="K43:P43" si="44">K36/K39</f>
        <v>3.3084104443317557</v>
      </c>
      <c r="L43" s="6">
        <f t="shared" si="44"/>
        <v>3.4764343139867795</v>
      </c>
      <c r="M43" s="6">
        <f t="shared" si="44"/>
        <v>3.452246079660338</v>
      </c>
      <c r="N43" s="6">
        <f t="shared" si="44"/>
        <v>3.4643706784040873</v>
      </c>
      <c r="O43" s="6">
        <f t="shared" si="44"/>
        <v>4.0716087699422099</v>
      </c>
      <c r="P43" s="6">
        <f t="shared" si="44"/>
        <v>4.526422629615686</v>
      </c>
      <c r="Q43" s="6">
        <f t="shared" ref="Q43:R43" si="45">Q36/Q39</f>
        <v>5.2704945888057964</v>
      </c>
      <c r="R43" s="6">
        <f t="shared" si="45"/>
        <v>5.5578976619370692</v>
      </c>
    </row>
    <row r="44" spans="2:18" x14ac:dyDescent="0.25">
      <c r="B44" s="4" t="s">
        <v>13</v>
      </c>
      <c r="C44" s="6">
        <f t="shared" ref="C44:J44" si="46">C36/C37</f>
        <v>2.1428137992363654</v>
      </c>
      <c r="D44" s="6">
        <f t="shared" si="46"/>
        <v>2.2088144697482051</v>
      </c>
      <c r="E44" s="6">
        <f t="shared" si="46"/>
        <v>2.2985127870158357</v>
      </c>
      <c r="F44" s="6">
        <f t="shared" si="46"/>
        <v>2.3514087329619358</v>
      </c>
      <c r="G44" s="6">
        <f t="shared" si="46"/>
        <v>2.228322806945314</v>
      </c>
      <c r="H44" s="6">
        <f t="shared" si="46"/>
        <v>2.2441549731601165</v>
      </c>
      <c r="I44" s="6">
        <f t="shared" si="46"/>
        <v>2.2726711163201574</v>
      </c>
      <c r="J44" s="6">
        <f t="shared" si="46"/>
        <v>2.4156577172286791</v>
      </c>
      <c r="K44" s="6">
        <f t="shared" ref="K44:P44" si="47">K36/K37</f>
        <v>2.530359754678031</v>
      </c>
      <c r="L44" s="6">
        <f t="shared" si="47"/>
        <v>2.488990286650627</v>
      </c>
      <c r="M44" s="6">
        <f t="shared" si="47"/>
        <v>2.5772451894622761</v>
      </c>
      <c r="N44" s="6">
        <f t="shared" si="47"/>
        <v>2.6021370357196059</v>
      </c>
      <c r="O44" s="6">
        <f t="shared" si="47"/>
        <v>2.3619144482074481</v>
      </c>
      <c r="P44" s="6">
        <f t="shared" si="47"/>
        <v>2.2857499029263795</v>
      </c>
      <c r="Q44" s="6">
        <f t="shared" ref="Q44:R44" si="48">Q36/Q37</f>
        <v>2.5720202342127991</v>
      </c>
      <c r="R44" s="6">
        <f t="shared" si="48"/>
        <v>2.499749034584938</v>
      </c>
    </row>
    <row r="45" spans="2:18" x14ac:dyDescent="0.25">
      <c r="B45" s="4"/>
    </row>
    <row r="46" spans="2:18" x14ac:dyDescent="0.25">
      <c r="B46" t="s">
        <v>51</v>
      </c>
      <c r="R46" t="s">
        <v>49</v>
      </c>
    </row>
    <row r="47" spans="2:18" x14ac:dyDescent="0.25">
      <c r="B47" t="s">
        <v>50</v>
      </c>
    </row>
    <row r="48" spans="2:18" x14ac:dyDescent="0.25">
      <c r="B48" s="4" t="s">
        <v>14</v>
      </c>
      <c r="C48" s="4"/>
      <c r="J48" s="6"/>
      <c r="L48" s="6"/>
    </row>
    <row r="49" spans="2:15" x14ac:dyDescent="0.25">
      <c r="B49" s="55" t="s">
        <v>42</v>
      </c>
      <c r="J49" s="6"/>
    </row>
    <row r="50" spans="2:15" x14ac:dyDescent="0.25">
      <c r="B50" s="55" t="s">
        <v>15</v>
      </c>
      <c r="J50" s="6"/>
    </row>
    <row r="51" spans="2:15" x14ac:dyDescent="0.25">
      <c r="B51" t="s">
        <v>45</v>
      </c>
      <c r="J51" s="6"/>
    </row>
    <row r="52" spans="2:15" x14ac:dyDescent="0.25">
      <c r="B52" t="s">
        <v>46</v>
      </c>
    </row>
    <row r="53" spans="2:15" x14ac:dyDescent="0.25">
      <c r="B53" t="s">
        <v>47</v>
      </c>
    </row>
    <row r="54" spans="2:15" x14ac:dyDescent="0.25">
      <c r="B54" t="s">
        <v>16</v>
      </c>
    </row>
    <row r="56" spans="2:15" x14ac:dyDescent="0.25">
      <c r="B56" s="55" t="s">
        <v>17</v>
      </c>
    </row>
    <row r="57" spans="2:15" ht="120.75" customHeight="1" x14ac:dyDescent="0.25">
      <c r="B57" t="s">
        <v>52</v>
      </c>
      <c r="C57" t="s">
        <v>18</v>
      </c>
    </row>
    <row r="59" spans="2:15" x14ac:dyDescent="0.25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45"/>
    </row>
    <row r="60" spans="2:15" x14ac:dyDescent="0.25">
      <c r="B60" s="11"/>
    </row>
    <row r="61" spans="2:15" x14ac:dyDescent="0.25">
      <c r="B61" s="11"/>
    </row>
    <row r="62" spans="2:15" x14ac:dyDescent="0.25">
      <c r="B62" s="11"/>
    </row>
    <row r="63" spans="2:15" ht="15.75" thickBot="1" x14ac:dyDescent="0.3">
      <c r="B63" s="11"/>
    </row>
    <row r="64" spans="2:15" ht="15.75" thickBot="1" x14ac:dyDescent="0.3">
      <c r="B64" s="12"/>
      <c r="C64" s="62">
        <v>2008</v>
      </c>
      <c r="D64" s="63"/>
      <c r="E64" s="58">
        <v>2009</v>
      </c>
      <c r="F64" s="59"/>
      <c r="G64" s="58">
        <v>2010</v>
      </c>
      <c r="H64" s="59"/>
      <c r="I64" s="58">
        <v>2011</v>
      </c>
      <c r="J64" s="64"/>
      <c r="K64" s="60">
        <v>2012</v>
      </c>
      <c r="L64" s="59"/>
      <c r="M64" s="58">
        <v>2013</v>
      </c>
      <c r="N64" s="59"/>
      <c r="O64" s="13"/>
    </row>
    <row r="65" spans="2:15" ht="15.75" thickBot="1" x14ac:dyDescent="0.3">
      <c r="B65" s="14"/>
      <c r="C65" s="10" t="s">
        <v>19</v>
      </c>
      <c r="D65" s="10" t="s">
        <v>20</v>
      </c>
      <c r="E65" s="10" t="s">
        <v>19</v>
      </c>
      <c r="F65" s="10" t="s">
        <v>20</v>
      </c>
      <c r="G65" s="10" t="s">
        <v>19</v>
      </c>
      <c r="H65" s="10" t="s">
        <v>20</v>
      </c>
      <c r="I65" s="10" t="s">
        <v>19</v>
      </c>
      <c r="J65" s="15" t="s">
        <v>20</v>
      </c>
      <c r="K65" s="16" t="s">
        <v>19</v>
      </c>
      <c r="L65" s="10" t="s">
        <v>20</v>
      </c>
      <c r="M65" s="10" t="s">
        <v>19</v>
      </c>
      <c r="N65" s="10" t="s">
        <v>20</v>
      </c>
      <c r="O65" s="47"/>
    </row>
    <row r="66" spans="2:15" ht="15.75" thickBot="1" x14ac:dyDescent="0.3">
      <c r="B66" s="17" t="s">
        <v>21</v>
      </c>
      <c r="C66" s="21">
        <v>8943</v>
      </c>
      <c r="D66" s="18">
        <v>0.2</v>
      </c>
      <c r="E66" s="19" t="s">
        <v>22</v>
      </c>
      <c r="F66" s="18">
        <v>0.21</v>
      </c>
      <c r="G66" s="19" t="s">
        <v>23</v>
      </c>
      <c r="H66" s="18">
        <v>0.21</v>
      </c>
      <c r="I66" s="19" t="s">
        <v>24</v>
      </c>
      <c r="J66" s="20">
        <v>0.21</v>
      </c>
      <c r="K66" s="14" t="s">
        <v>25</v>
      </c>
      <c r="L66" s="18">
        <v>0.21</v>
      </c>
      <c r="M66" s="19" t="s">
        <v>26</v>
      </c>
      <c r="N66" s="18">
        <v>0.21</v>
      </c>
      <c r="O66" s="48"/>
    </row>
    <row r="67" spans="2:15" ht="15.75" thickBot="1" x14ac:dyDescent="0.3">
      <c r="B67" s="17" t="s">
        <v>27</v>
      </c>
      <c r="C67" s="21">
        <v>15475</v>
      </c>
      <c r="D67" s="18">
        <v>0.35</v>
      </c>
      <c r="E67" s="22">
        <v>15474</v>
      </c>
      <c r="F67" s="18">
        <v>0.35</v>
      </c>
      <c r="G67" s="22">
        <v>15228</v>
      </c>
      <c r="H67" s="18">
        <v>0.34</v>
      </c>
      <c r="I67" s="22">
        <v>14664</v>
      </c>
      <c r="J67" s="20">
        <v>0.35</v>
      </c>
      <c r="K67" s="21">
        <v>14778</v>
      </c>
      <c r="L67" s="18">
        <v>0.35</v>
      </c>
      <c r="M67" s="22">
        <v>14466</v>
      </c>
      <c r="N67" s="18">
        <v>0.35</v>
      </c>
      <c r="O67" s="48"/>
    </row>
    <row r="68" spans="2:15" ht="15.75" thickBot="1" x14ac:dyDescent="0.3">
      <c r="B68" s="17" t="s">
        <v>28</v>
      </c>
      <c r="C68" s="14" t="s">
        <v>29</v>
      </c>
      <c r="D68" s="18">
        <v>0.01</v>
      </c>
      <c r="E68" s="19" t="s">
        <v>30</v>
      </c>
      <c r="F68" s="18">
        <v>0.01</v>
      </c>
      <c r="G68" s="19" t="s">
        <v>31</v>
      </c>
      <c r="H68" s="18">
        <v>0.01</v>
      </c>
      <c r="I68" s="19" t="s">
        <v>32</v>
      </c>
      <c r="J68" s="20">
        <v>0.01</v>
      </c>
      <c r="K68" s="14" t="s">
        <v>33</v>
      </c>
      <c r="L68" s="18">
        <v>0.01</v>
      </c>
      <c r="M68" s="19" t="s">
        <v>34</v>
      </c>
      <c r="N68" s="18">
        <v>0.01</v>
      </c>
      <c r="O68" s="48"/>
    </row>
    <row r="69" spans="2:15" ht="15.75" thickBot="1" x14ac:dyDescent="0.3">
      <c r="B69" s="17" t="s">
        <v>35</v>
      </c>
      <c r="C69" s="21">
        <v>19123</v>
      </c>
      <c r="D69" s="18">
        <v>0.44</v>
      </c>
      <c r="E69" s="22">
        <v>19232</v>
      </c>
      <c r="F69" s="18">
        <v>0.43</v>
      </c>
      <c r="G69" s="22">
        <v>19292</v>
      </c>
      <c r="H69" s="18">
        <v>0.44</v>
      </c>
      <c r="I69" s="22">
        <v>17970</v>
      </c>
      <c r="J69" s="20">
        <v>0.43</v>
      </c>
      <c r="K69" s="21">
        <v>18185</v>
      </c>
      <c r="L69" s="18">
        <v>0.43</v>
      </c>
      <c r="M69" s="22">
        <v>17548</v>
      </c>
      <c r="N69" s="18">
        <v>0.43</v>
      </c>
      <c r="O69" s="48"/>
    </row>
    <row r="70" spans="2:15" ht="16.5" x14ac:dyDescent="0.25">
      <c r="B70" s="13" t="s">
        <v>5</v>
      </c>
      <c r="C70" s="23">
        <v>43882</v>
      </c>
      <c r="D70" s="24"/>
      <c r="E70" s="25" t="s">
        <v>36</v>
      </c>
      <c r="F70" s="24"/>
      <c r="G70" s="25" t="s">
        <v>37</v>
      </c>
      <c r="H70" s="24"/>
      <c r="I70" s="25" t="s">
        <v>38</v>
      </c>
      <c r="J70" s="24"/>
      <c r="K70" s="25" t="s">
        <v>39</v>
      </c>
      <c r="L70" s="24"/>
      <c r="M70" s="25" t="s">
        <v>40</v>
      </c>
      <c r="N70" s="24"/>
      <c r="O70" s="24"/>
    </row>
    <row r="72" spans="2:15" ht="15.75" thickBot="1" x14ac:dyDescent="0.3"/>
    <row r="73" spans="2:15" ht="15.75" thickBot="1" x14ac:dyDescent="0.3">
      <c r="B73" s="12"/>
      <c r="C73" s="62">
        <v>2008</v>
      </c>
      <c r="D73" s="63"/>
      <c r="E73" s="58">
        <v>2009</v>
      </c>
      <c r="F73" s="59"/>
      <c r="G73" s="58">
        <v>2010</v>
      </c>
      <c r="H73" s="59"/>
      <c r="I73" s="58">
        <v>2011</v>
      </c>
      <c r="J73" s="64"/>
      <c r="K73" s="60">
        <v>2012</v>
      </c>
      <c r="L73" s="59"/>
      <c r="M73" s="58">
        <v>2013</v>
      </c>
      <c r="N73" s="59"/>
      <c r="O73" s="13"/>
    </row>
    <row r="74" spans="2:15" ht="15.75" thickBot="1" x14ac:dyDescent="0.3">
      <c r="B74" s="14"/>
      <c r="C74" s="10" t="s">
        <v>19</v>
      </c>
      <c r="D74" s="10" t="s">
        <v>20</v>
      </c>
      <c r="E74" s="10" t="s">
        <v>19</v>
      </c>
      <c r="F74" s="10" t="s">
        <v>20</v>
      </c>
      <c r="G74" s="10" t="s">
        <v>19</v>
      </c>
      <c r="H74" s="10" t="s">
        <v>20</v>
      </c>
      <c r="I74" s="10" t="s">
        <v>19</v>
      </c>
      <c r="J74" s="15" t="s">
        <v>20</v>
      </c>
      <c r="K74" s="16" t="s">
        <v>19</v>
      </c>
      <c r="L74" s="10" t="s">
        <v>20</v>
      </c>
      <c r="M74" s="10" t="s">
        <v>19</v>
      </c>
      <c r="N74" s="10" t="s">
        <v>20</v>
      </c>
      <c r="O74" s="47"/>
    </row>
    <row r="75" spans="2:15" ht="15.75" thickBot="1" x14ac:dyDescent="0.3">
      <c r="B75" s="17" t="s">
        <v>21</v>
      </c>
      <c r="C75" s="21">
        <v>8943</v>
      </c>
      <c r="D75" s="32">
        <f>C75/$C$79</f>
        <v>0.20379654528052504</v>
      </c>
      <c r="E75" s="22">
        <v>9194</v>
      </c>
      <c r="F75" s="32">
        <f>E75/$E$79</f>
        <v>0.20755355893175609</v>
      </c>
      <c r="G75" s="22">
        <v>9287</v>
      </c>
      <c r="H75" s="32">
        <f>G75/$G$79</f>
        <v>0.20991365670629719</v>
      </c>
      <c r="I75" s="22">
        <v>9030</v>
      </c>
      <c r="J75" s="32">
        <f>I75/$I$79</f>
        <v>0.21444856084354516</v>
      </c>
      <c r="K75" s="21">
        <v>8719</v>
      </c>
      <c r="L75" s="32">
        <f>K75/$K$79</f>
        <v>0.20692519460793621</v>
      </c>
      <c r="M75" s="22">
        <v>8613</v>
      </c>
      <c r="N75" s="32">
        <f>M75/$M$79</f>
        <v>0.20935828877005347</v>
      </c>
      <c r="O75" s="49"/>
    </row>
    <row r="76" spans="2:15" ht="15.75" thickBot="1" x14ac:dyDescent="0.3">
      <c r="B76" s="17" t="s">
        <v>27</v>
      </c>
      <c r="C76" s="21">
        <v>15475</v>
      </c>
      <c r="D76" s="32">
        <f>C76/$C$79</f>
        <v>0.35265028941251536</v>
      </c>
      <c r="E76" s="22">
        <v>15474</v>
      </c>
      <c r="F76" s="32">
        <f>E76/$E$79</f>
        <v>0.34932388197846354</v>
      </c>
      <c r="G76" s="22">
        <v>15228</v>
      </c>
      <c r="H76" s="32">
        <f>G76/$G$79</f>
        <v>0.34419782107499663</v>
      </c>
      <c r="I76" s="22">
        <v>14664</v>
      </c>
      <c r="J76" s="32">
        <f>I76/$I$79</f>
        <v>0.34824736392134509</v>
      </c>
      <c r="K76" s="21">
        <v>14778</v>
      </c>
      <c r="L76" s="32">
        <f>K76/$K$79</f>
        <v>0.35072147332447312</v>
      </c>
      <c r="M76" s="22">
        <v>14466</v>
      </c>
      <c r="N76" s="32">
        <f>M76/$M$79</f>
        <v>0.35162858531842489</v>
      </c>
      <c r="O76" s="49"/>
    </row>
    <row r="77" spans="2:15" ht="15.75" thickBot="1" x14ac:dyDescent="0.3">
      <c r="B77" s="17" t="s">
        <v>28</v>
      </c>
      <c r="C77" s="14">
        <v>341</v>
      </c>
      <c r="D77" s="32">
        <f>C77/$C$79</f>
        <v>7.7708399799462195E-3</v>
      </c>
      <c r="E77" s="19">
        <v>397</v>
      </c>
      <c r="F77" s="32">
        <f>E77/$E$79</f>
        <v>8.9622322053412203E-3</v>
      </c>
      <c r="G77" s="19">
        <v>435</v>
      </c>
      <c r="H77" s="32">
        <f>G77/$G$79</f>
        <v>9.8322860630170421E-3</v>
      </c>
      <c r="I77" s="19">
        <v>444</v>
      </c>
      <c r="J77" s="32">
        <f>I77/$I$79</f>
        <v>1.054431461954973E-2</v>
      </c>
      <c r="K77" s="14">
        <v>454</v>
      </c>
      <c r="L77" s="32">
        <f>K77/$K$79</f>
        <v>1.0774634516802734E-2</v>
      </c>
      <c r="M77" s="19">
        <v>513</v>
      </c>
      <c r="N77" s="32">
        <f>M77/$M$79</f>
        <v>1.2469615945551774E-2</v>
      </c>
      <c r="O77" s="49"/>
    </row>
    <row r="78" spans="2:15" ht="15.75" thickBot="1" x14ac:dyDescent="0.3">
      <c r="B78" s="17" t="s">
        <v>35</v>
      </c>
      <c r="C78" s="21">
        <v>19123</v>
      </c>
      <c r="D78" s="32">
        <f>C78/$C$79</f>
        <v>0.43578232532701333</v>
      </c>
      <c r="E78" s="22">
        <v>19232</v>
      </c>
      <c r="F78" s="32">
        <f>E78/$E$79</f>
        <v>0.43416032688443912</v>
      </c>
      <c r="G78" s="22">
        <v>19292</v>
      </c>
      <c r="H78" s="32">
        <f>G78/$G$79</f>
        <v>0.43605623615568917</v>
      </c>
      <c r="I78" s="22">
        <v>17970</v>
      </c>
      <c r="J78" s="32">
        <f>I78/$I$79</f>
        <v>0.42675976061555998</v>
      </c>
      <c r="K78" s="21">
        <v>18185</v>
      </c>
      <c r="L78" s="32">
        <f>K78/$K$79</f>
        <v>0.43157869755078793</v>
      </c>
      <c r="M78" s="22">
        <v>17548</v>
      </c>
      <c r="N78" s="32">
        <f>M78/$M$79</f>
        <v>0.42654350996596985</v>
      </c>
      <c r="O78" s="49"/>
    </row>
    <row r="79" spans="2:15" ht="16.5" x14ac:dyDescent="0.25">
      <c r="B79" s="13" t="s">
        <v>5</v>
      </c>
      <c r="C79" s="23">
        <v>43882</v>
      </c>
      <c r="D79" s="24"/>
      <c r="E79" s="23">
        <v>44297</v>
      </c>
      <c r="F79" s="24"/>
      <c r="G79" s="23">
        <v>44242</v>
      </c>
      <c r="H79" s="24"/>
      <c r="I79" s="23">
        <v>42108</v>
      </c>
      <c r="J79" s="24"/>
      <c r="K79" s="23">
        <v>42136</v>
      </c>
      <c r="L79" s="24"/>
      <c r="M79" s="23">
        <v>41140</v>
      </c>
      <c r="N79" s="24"/>
      <c r="O79" s="24"/>
    </row>
  </sheetData>
  <mergeCells count="13">
    <mergeCell ref="M73:N73"/>
    <mergeCell ref="K64:L64"/>
    <mergeCell ref="M64:N64"/>
    <mergeCell ref="B59:N59"/>
    <mergeCell ref="C64:D64"/>
    <mergeCell ref="E64:F64"/>
    <mergeCell ref="G64:H64"/>
    <mergeCell ref="I64:J64"/>
    <mergeCell ref="C73:D73"/>
    <mergeCell ref="E73:F73"/>
    <mergeCell ref="G73:H73"/>
    <mergeCell ref="I73:J73"/>
    <mergeCell ref="K73:L73"/>
  </mergeCells>
  <pageMargins left="0.7" right="0.7" top="0.75" bottom="0.75" header="0.3" footer="0.3"/>
  <pageSetup orientation="portrait" r:id="rId1"/>
  <ignoredErrors>
    <ignoredError sqref="H7 C7:G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Austin Independent School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a106159</dc:creator>
  <cp:keywords/>
  <dc:description/>
  <cp:lastModifiedBy>Carlos Soto</cp:lastModifiedBy>
  <cp:revision/>
  <cp:lastPrinted>2016-03-24T19:34:03Z</cp:lastPrinted>
  <dcterms:created xsi:type="dcterms:W3CDTF">2010-08-02T15:46:29Z</dcterms:created>
  <dcterms:modified xsi:type="dcterms:W3CDTF">2025-08-19T17:09:52Z</dcterms:modified>
  <cp:category/>
  <cp:contentStatus/>
</cp:coreProperties>
</file>