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insured\For Web\"/>
    </mc:Choice>
  </mc:AlternateContent>
  <xr:revisionPtr revIDLastSave="0" documentId="13_ncr:1_{51C88399-9FB4-4D15-A2E5-872C97453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S 1 Yr Indicator" sheetId="1" r:id="rId1"/>
    <sheet name="Margin of Err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2" l="1"/>
  <c r="K15" i="2" s="1"/>
  <c r="I15" i="2"/>
  <c r="J15" i="2"/>
  <c r="H16" i="2"/>
  <c r="I16" i="2" s="1"/>
  <c r="H17" i="2"/>
  <c r="I17" i="2"/>
  <c r="J17" i="2"/>
  <c r="K17" i="2"/>
  <c r="D15" i="2"/>
  <c r="E15" i="2"/>
  <c r="D16" i="2"/>
  <c r="E16" i="2"/>
  <c r="D17" i="2"/>
  <c r="E17" i="2"/>
  <c r="D18" i="2"/>
  <c r="H18" i="2" s="1"/>
  <c r="I18" i="2" s="1"/>
  <c r="E18" i="2"/>
  <c r="H34" i="2"/>
  <c r="I34" i="2" s="1"/>
  <c r="J34" i="2"/>
  <c r="K34" i="2"/>
  <c r="H35" i="2"/>
  <c r="I35" i="2" s="1"/>
  <c r="J35" i="2"/>
  <c r="K35" i="2"/>
  <c r="H36" i="2"/>
  <c r="I36" i="2" s="1"/>
  <c r="J36" i="2"/>
  <c r="K36" i="2"/>
  <c r="D34" i="2"/>
  <c r="E34" i="2"/>
  <c r="D35" i="2"/>
  <c r="E35" i="2"/>
  <c r="D36" i="2"/>
  <c r="E36" i="2"/>
  <c r="D37" i="2"/>
  <c r="H37" i="2" s="1"/>
  <c r="E37" i="2"/>
  <c r="H53" i="2"/>
  <c r="I53" i="2" s="1"/>
  <c r="J53" i="2"/>
  <c r="K53" i="2"/>
  <c r="H54" i="2"/>
  <c r="K54" i="2" s="1"/>
  <c r="I54" i="2"/>
  <c r="J54" i="2"/>
  <c r="H55" i="2"/>
  <c r="I55" i="2"/>
  <c r="J55" i="2"/>
  <c r="K55" i="2"/>
  <c r="D53" i="2"/>
  <c r="E53" i="2"/>
  <c r="D54" i="2"/>
  <c r="E54" i="2"/>
  <c r="D55" i="2"/>
  <c r="E55" i="2"/>
  <c r="D56" i="2"/>
  <c r="H56" i="2" s="1"/>
  <c r="K56" i="2" s="1"/>
  <c r="E56" i="2"/>
  <c r="H72" i="2"/>
  <c r="J72" i="2" s="1"/>
  <c r="I72" i="2"/>
  <c r="H73" i="2"/>
  <c r="K73" i="2" s="1"/>
  <c r="I73" i="2"/>
  <c r="J73" i="2"/>
  <c r="H74" i="2"/>
  <c r="J74" i="2" s="1"/>
  <c r="I74" i="2"/>
  <c r="D72" i="2"/>
  <c r="E72" i="2"/>
  <c r="D73" i="2"/>
  <c r="E73" i="2"/>
  <c r="D74" i="2"/>
  <c r="E74" i="2"/>
  <c r="D75" i="2"/>
  <c r="E75" i="2"/>
  <c r="K91" i="2"/>
  <c r="K92" i="2"/>
  <c r="K93" i="2"/>
  <c r="J91" i="2"/>
  <c r="J92" i="2"/>
  <c r="J93" i="2"/>
  <c r="I91" i="2"/>
  <c r="I92" i="2"/>
  <c r="I93" i="2"/>
  <c r="H91" i="2"/>
  <c r="H92" i="2"/>
  <c r="H93" i="2"/>
  <c r="E91" i="2"/>
  <c r="E92" i="2"/>
  <c r="E93" i="2"/>
  <c r="E94" i="2"/>
  <c r="D91" i="2"/>
  <c r="D92" i="2"/>
  <c r="D93" i="2"/>
  <c r="D94" i="2"/>
  <c r="L11" i="2"/>
  <c r="L12" i="2"/>
  <c r="D90" i="2"/>
  <c r="H90" i="2" s="1"/>
  <c r="K90" i="2" s="1"/>
  <c r="E90" i="2"/>
  <c r="D71" i="2"/>
  <c r="H71" i="2" s="1"/>
  <c r="J71" i="2" s="1"/>
  <c r="E71" i="2"/>
  <c r="D52" i="2"/>
  <c r="H52" i="2" s="1"/>
  <c r="K52" i="2" s="1"/>
  <c r="E52" i="2"/>
  <c r="D33" i="2"/>
  <c r="H33" i="2" s="1"/>
  <c r="K33" i="2" s="1"/>
  <c r="E33" i="2"/>
  <c r="D14" i="2"/>
  <c r="H14" i="2" s="1"/>
  <c r="K14" i="2" s="1"/>
  <c r="E14" i="2"/>
  <c r="D13" i="2"/>
  <c r="H13" i="2" s="1"/>
  <c r="E13" i="2"/>
  <c r="D32" i="2"/>
  <c r="H32" i="2" s="1"/>
  <c r="K32" i="2" s="1"/>
  <c r="E32" i="2"/>
  <c r="D51" i="2"/>
  <c r="E51" i="2"/>
  <c r="D70" i="2"/>
  <c r="H70" i="2" s="1"/>
  <c r="K70" i="2" s="1"/>
  <c r="E70" i="2"/>
  <c r="D89" i="2"/>
  <c r="H89" i="2" s="1"/>
  <c r="E89" i="2"/>
  <c r="E12" i="2"/>
  <c r="D12" i="2"/>
  <c r="H12" i="2" s="1"/>
  <c r="I12" i="2" s="1"/>
  <c r="E31" i="2"/>
  <c r="D31" i="2"/>
  <c r="H31" i="2" s="1"/>
  <c r="J31" i="2" s="1"/>
  <c r="E50" i="2"/>
  <c r="D50" i="2"/>
  <c r="H50" i="2" s="1"/>
  <c r="I50" i="2" s="1"/>
  <c r="D88" i="2"/>
  <c r="H88" i="2" s="1"/>
  <c r="E69" i="2"/>
  <c r="D69" i="2"/>
  <c r="H69" i="2" s="1"/>
  <c r="K69" i="2" s="1"/>
  <c r="G87" i="2"/>
  <c r="F4" i="2"/>
  <c r="B4" i="2"/>
  <c r="C4" i="2"/>
  <c r="G4" i="2"/>
  <c r="E88" i="2"/>
  <c r="G11" i="2"/>
  <c r="F11" i="2"/>
  <c r="D11" i="2"/>
  <c r="F10" i="2"/>
  <c r="E11" i="2"/>
  <c r="G30" i="2"/>
  <c r="F30" i="2"/>
  <c r="D30" i="2"/>
  <c r="F29" i="2"/>
  <c r="E30" i="2"/>
  <c r="G49" i="2"/>
  <c r="F49" i="2"/>
  <c r="D49" i="2"/>
  <c r="E49" i="2"/>
  <c r="G68" i="2"/>
  <c r="G67" i="2"/>
  <c r="F68" i="2"/>
  <c r="D68" i="2"/>
  <c r="E68" i="2"/>
  <c r="F87" i="2"/>
  <c r="D87" i="2"/>
  <c r="E87" i="2"/>
  <c r="F48" i="2"/>
  <c r="D48" i="2"/>
  <c r="G48" i="2"/>
  <c r="E48" i="2"/>
  <c r="G47" i="2"/>
  <c r="F47" i="2"/>
  <c r="E10" i="2"/>
  <c r="D10" i="2"/>
  <c r="G10" i="2"/>
  <c r="G9" i="2"/>
  <c r="F9" i="2"/>
  <c r="D29" i="2"/>
  <c r="G29" i="2"/>
  <c r="E29" i="2"/>
  <c r="E67" i="2"/>
  <c r="D67" i="2"/>
  <c r="G66" i="2"/>
  <c r="F67" i="2"/>
  <c r="F66" i="2"/>
  <c r="F86" i="2"/>
  <c r="D86" i="2"/>
  <c r="G86" i="2"/>
  <c r="E86" i="2"/>
  <c r="G85" i="2"/>
  <c r="F85" i="2"/>
  <c r="C66" i="2"/>
  <c r="B4" i="1"/>
  <c r="C4" i="1"/>
  <c r="D4" i="1"/>
  <c r="E4" i="1"/>
  <c r="F4" i="1"/>
  <c r="G4" i="1"/>
  <c r="E9" i="2"/>
  <c r="C85" i="2"/>
  <c r="B85" i="2"/>
  <c r="G84" i="2"/>
  <c r="F84" i="2"/>
  <c r="G65" i="2"/>
  <c r="F65" i="2"/>
  <c r="B66" i="2"/>
  <c r="G46" i="2"/>
  <c r="F46" i="2"/>
  <c r="C47" i="2"/>
  <c r="B47" i="2"/>
  <c r="B46" i="2"/>
  <c r="G28" i="2"/>
  <c r="G27" i="2"/>
  <c r="F28" i="2"/>
  <c r="F27" i="2"/>
  <c r="C28" i="2"/>
  <c r="B28" i="2"/>
  <c r="F8" i="2"/>
  <c r="D9" i="2"/>
  <c r="G10" i="1"/>
  <c r="G6" i="1"/>
  <c r="G11" i="1"/>
  <c r="G5" i="1"/>
  <c r="G12" i="1"/>
  <c r="G13" i="1"/>
  <c r="G3" i="1"/>
  <c r="G14" i="1"/>
  <c r="G2" i="1"/>
  <c r="G8" i="2"/>
  <c r="C8" i="2"/>
  <c r="L10" i="2" s="1"/>
  <c r="B8" i="2"/>
  <c r="C27" i="2"/>
  <c r="B27" i="2"/>
  <c r="C46" i="2"/>
  <c r="B65" i="2"/>
  <c r="C65" i="2"/>
  <c r="C84" i="2"/>
  <c r="B84" i="2"/>
  <c r="F7" i="2"/>
  <c r="G7" i="2"/>
  <c r="C7" i="2"/>
  <c r="L9" i="2" s="1"/>
  <c r="B7" i="2"/>
  <c r="G6" i="2"/>
  <c r="F6" i="2"/>
  <c r="C6" i="2"/>
  <c r="L8" i="2" s="1"/>
  <c r="B6" i="2"/>
  <c r="G5" i="2"/>
  <c r="F5" i="2"/>
  <c r="C5" i="2"/>
  <c r="L7" i="2" s="1"/>
  <c r="B5" i="2"/>
  <c r="G3" i="2"/>
  <c r="F3" i="2"/>
  <c r="C3" i="2"/>
  <c r="B3" i="2"/>
  <c r="G26" i="2"/>
  <c r="F26" i="2"/>
  <c r="C26" i="2"/>
  <c r="B26" i="2"/>
  <c r="G25" i="2"/>
  <c r="F25" i="2"/>
  <c r="C25" i="2"/>
  <c r="B25" i="2"/>
  <c r="G24" i="2"/>
  <c r="F24" i="2"/>
  <c r="C24" i="2"/>
  <c r="B24" i="2"/>
  <c r="G23" i="2"/>
  <c r="F23" i="2"/>
  <c r="C23" i="2"/>
  <c r="B23" i="2"/>
  <c r="G22" i="2"/>
  <c r="F22" i="2"/>
  <c r="C22" i="2"/>
  <c r="B22" i="2"/>
  <c r="G60" i="2"/>
  <c r="F60" i="2"/>
  <c r="C60" i="2"/>
  <c r="G79" i="2"/>
  <c r="F79" i="2"/>
  <c r="C79" i="2"/>
  <c r="G41" i="2"/>
  <c r="F41" i="2"/>
  <c r="C41" i="2"/>
  <c r="G42" i="2"/>
  <c r="F42" i="2"/>
  <c r="C42" i="2"/>
  <c r="G43" i="2"/>
  <c r="F43" i="2"/>
  <c r="C43" i="2"/>
  <c r="G44" i="2"/>
  <c r="F44" i="2"/>
  <c r="C44" i="2"/>
  <c r="G45" i="2"/>
  <c r="F45" i="2"/>
  <c r="C45" i="2"/>
  <c r="G61" i="2"/>
  <c r="F61" i="2"/>
  <c r="C61" i="2"/>
  <c r="G62" i="2"/>
  <c r="F62" i="2"/>
  <c r="C62" i="2"/>
  <c r="G63" i="2"/>
  <c r="F63" i="2"/>
  <c r="C63" i="2"/>
  <c r="G64" i="2"/>
  <c r="F64" i="2"/>
  <c r="C64" i="2"/>
  <c r="G80" i="2"/>
  <c r="F80" i="2"/>
  <c r="C80" i="2"/>
  <c r="G81" i="2"/>
  <c r="F81" i="2"/>
  <c r="C81" i="2"/>
  <c r="G82" i="2"/>
  <c r="F82" i="2"/>
  <c r="C82" i="2"/>
  <c r="G83" i="2"/>
  <c r="F83" i="2"/>
  <c r="C83" i="2"/>
  <c r="E83" i="2" s="1"/>
  <c r="B82" i="2"/>
  <c r="B81" i="2"/>
  <c r="E81" i="2" s="1"/>
  <c r="B80" i="2"/>
  <c r="B79" i="2"/>
  <c r="B64" i="2"/>
  <c r="B63" i="2"/>
  <c r="B62" i="2"/>
  <c r="B61" i="2"/>
  <c r="B60" i="2"/>
  <c r="B45" i="2"/>
  <c r="B44" i="2"/>
  <c r="B43" i="2"/>
  <c r="B42" i="2"/>
  <c r="B41" i="2"/>
  <c r="F12" i="1"/>
  <c r="E12" i="1"/>
  <c r="D12" i="1"/>
  <c r="C12" i="1"/>
  <c r="B12" i="1"/>
  <c r="B14" i="1"/>
  <c r="B13" i="1"/>
  <c r="B11" i="1"/>
  <c r="B10" i="1"/>
  <c r="C14" i="1"/>
  <c r="C13" i="1"/>
  <c r="C11" i="1"/>
  <c r="C10" i="1"/>
  <c r="D14" i="1"/>
  <c r="D13" i="1"/>
  <c r="D11" i="1"/>
  <c r="D10" i="1"/>
  <c r="E14" i="1"/>
  <c r="E13" i="1"/>
  <c r="E11" i="1"/>
  <c r="E10" i="1"/>
  <c r="F14" i="1"/>
  <c r="F13" i="1"/>
  <c r="F11" i="1"/>
  <c r="F2" i="1"/>
  <c r="F3" i="1"/>
  <c r="F5" i="1"/>
  <c r="F6" i="1"/>
  <c r="E2" i="1"/>
  <c r="E3" i="1"/>
  <c r="E5" i="1"/>
  <c r="E6" i="1"/>
  <c r="D2" i="1"/>
  <c r="D3" i="1"/>
  <c r="D5" i="1"/>
  <c r="D6" i="1"/>
  <c r="C2" i="1"/>
  <c r="C3" i="1"/>
  <c r="C5" i="1"/>
  <c r="C6" i="1"/>
  <c r="B2" i="1"/>
  <c r="B3" i="1"/>
  <c r="B5" i="1"/>
  <c r="B6" i="1"/>
  <c r="H94" i="2" l="1"/>
  <c r="H75" i="2"/>
  <c r="K75" i="2" s="1"/>
  <c r="J56" i="2"/>
  <c r="I56" i="2"/>
  <c r="J37" i="2"/>
  <c r="K37" i="2"/>
  <c r="I37" i="2"/>
  <c r="K18" i="2"/>
  <c r="K16" i="2"/>
  <c r="J18" i="2"/>
  <c r="J16" i="2"/>
  <c r="K74" i="2"/>
  <c r="K72" i="2"/>
  <c r="D65" i="2"/>
  <c r="H65" i="2" s="1"/>
  <c r="K65" i="2" s="1"/>
  <c r="E44" i="2"/>
  <c r="H86" i="2"/>
  <c r="K86" i="2" s="1"/>
  <c r="D24" i="2"/>
  <c r="H24" i="2" s="1"/>
  <c r="K24" i="2" s="1"/>
  <c r="D26" i="2"/>
  <c r="M30" i="2" s="1"/>
  <c r="D61" i="2"/>
  <c r="H61" i="2" s="1"/>
  <c r="K61" i="2" s="1"/>
  <c r="E22" i="2"/>
  <c r="D62" i="2"/>
  <c r="D23" i="2"/>
  <c r="H23" i="2" s="1"/>
  <c r="K23" i="2" s="1"/>
  <c r="D84" i="2"/>
  <c r="H84" i="2" s="1"/>
  <c r="E64" i="2"/>
  <c r="H87" i="2"/>
  <c r="I87" i="2" s="1"/>
  <c r="E24" i="2"/>
  <c r="E45" i="2"/>
  <c r="D25" i="2"/>
  <c r="H25" i="2" s="1"/>
  <c r="K25" i="2" s="1"/>
  <c r="D5" i="2"/>
  <c r="M7" i="2" s="1"/>
  <c r="E63" i="2"/>
  <c r="D83" i="2"/>
  <c r="H83" i="2" s="1"/>
  <c r="K83" i="2" s="1"/>
  <c r="E65" i="2"/>
  <c r="D81" i="2"/>
  <c r="H81" i="2" s="1"/>
  <c r="K81" i="2" s="1"/>
  <c r="D45" i="2"/>
  <c r="H45" i="2" s="1"/>
  <c r="I45" i="2" s="1"/>
  <c r="E82" i="2"/>
  <c r="D44" i="2"/>
  <c r="H44" i="2" s="1"/>
  <c r="K44" i="2" s="1"/>
  <c r="E3" i="2"/>
  <c r="D63" i="2"/>
  <c r="E7" i="2"/>
  <c r="D43" i="2"/>
  <c r="H43" i="2" s="1"/>
  <c r="K43" i="2" s="1"/>
  <c r="E79" i="2"/>
  <c r="E5" i="2"/>
  <c r="D22" i="2"/>
  <c r="H22" i="2" s="1"/>
  <c r="K22" i="2" s="1"/>
  <c r="E26" i="2"/>
  <c r="H29" i="2"/>
  <c r="I29" i="2" s="1"/>
  <c r="D4" i="2"/>
  <c r="E66" i="2"/>
  <c r="H67" i="2"/>
  <c r="K67" i="2" s="1"/>
  <c r="D7" i="2"/>
  <c r="M9" i="2" s="1"/>
  <c r="E8" i="2"/>
  <c r="J88" i="2"/>
  <c r="K88" i="2"/>
  <c r="D85" i="2"/>
  <c r="H85" i="2" s="1"/>
  <c r="J85" i="2" s="1"/>
  <c r="E61" i="2"/>
  <c r="E84" i="2"/>
  <c r="H48" i="2"/>
  <c r="J48" i="2" s="1"/>
  <c r="E85" i="2"/>
  <c r="H30" i="2"/>
  <c r="K30" i="2" s="1"/>
  <c r="I88" i="2"/>
  <c r="I14" i="2"/>
  <c r="D66" i="2"/>
  <c r="H66" i="2" s="1"/>
  <c r="E80" i="2"/>
  <c r="E42" i="2"/>
  <c r="D3" i="2"/>
  <c r="H3" i="2" s="1"/>
  <c r="K3" i="2" s="1"/>
  <c r="D46" i="2"/>
  <c r="H46" i="2" s="1"/>
  <c r="K46" i="2" s="1"/>
  <c r="E28" i="2"/>
  <c r="E41" i="2"/>
  <c r="E62" i="2"/>
  <c r="D60" i="2"/>
  <c r="H60" i="2" s="1"/>
  <c r="K60" i="2" s="1"/>
  <c r="E6" i="2"/>
  <c r="D47" i="2"/>
  <c r="H47" i="2" s="1"/>
  <c r="J13" i="2"/>
  <c r="I13" i="2"/>
  <c r="K13" i="2"/>
  <c r="E25" i="2"/>
  <c r="E43" i="2"/>
  <c r="E46" i="2"/>
  <c r="H9" i="2"/>
  <c r="K9" i="2" s="1"/>
  <c r="D41" i="2"/>
  <c r="H41" i="2" s="1"/>
  <c r="K41" i="2" s="1"/>
  <c r="E27" i="2"/>
  <c r="E47" i="2"/>
  <c r="H49" i="2"/>
  <c r="I49" i="2" s="1"/>
  <c r="H10" i="2"/>
  <c r="I10" i="2" s="1"/>
  <c r="I71" i="2"/>
  <c r="I33" i="2"/>
  <c r="D82" i="2"/>
  <c r="H82" i="2" s="1"/>
  <c r="K82" i="2" s="1"/>
  <c r="H68" i="2"/>
  <c r="J68" i="2" s="1"/>
  <c r="H11" i="2"/>
  <c r="K11" i="2" s="1"/>
  <c r="K31" i="2"/>
  <c r="J90" i="2"/>
  <c r="H63" i="2"/>
  <c r="J63" i="2" s="1"/>
  <c r="K71" i="2"/>
  <c r="E23" i="2"/>
  <c r="E4" i="2"/>
  <c r="I31" i="2"/>
  <c r="J14" i="2"/>
  <c r="I90" i="2"/>
  <c r="D42" i="2"/>
  <c r="H42" i="2" s="1"/>
  <c r="K42" i="2" s="1"/>
  <c r="M11" i="2"/>
  <c r="D79" i="2"/>
  <c r="H79" i="2" s="1"/>
  <c r="K79" i="2" s="1"/>
  <c r="K50" i="2"/>
  <c r="H4" i="2"/>
  <c r="K4" i="2" s="1"/>
  <c r="J89" i="2"/>
  <c r="I89" i="2"/>
  <c r="K89" i="2"/>
  <c r="D64" i="2"/>
  <c r="D80" i="2"/>
  <c r="D6" i="2"/>
  <c r="M8" i="2" s="1"/>
  <c r="D27" i="2"/>
  <c r="J12" i="2"/>
  <c r="J70" i="2"/>
  <c r="M12" i="2"/>
  <c r="E60" i="2"/>
  <c r="D8" i="2"/>
  <c r="H8" i="2" s="1"/>
  <c r="K8" i="2" s="1"/>
  <c r="J69" i="2"/>
  <c r="K12" i="2"/>
  <c r="H51" i="2"/>
  <c r="I69" i="2"/>
  <c r="J52" i="2"/>
  <c r="J50" i="2"/>
  <c r="I52" i="2"/>
  <c r="D28" i="2"/>
  <c r="J32" i="2"/>
  <c r="I70" i="2"/>
  <c r="I32" i="2"/>
  <c r="J33" i="2"/>
  <c r="I94" i="2" l="1"/>
  <c r="K94" i="2"/>
  <c r="J94" i="2"/>
  <c r="J75" i="2"/>
  <c r="I75" i="2"/>
  <c r="I86" i="2"/>
  <c r="J81" i="2"/>
  <c r="J87" i="2"/>
  <c r="K87" i="2"/>
  <c r="M29" i="2"/>
  <c r="H26" i="2"/>
  <c r="K26" i="2" s="1"/>
  <c r="H5" i="2"/>
  <c r="J5" i="2" s="1"/>
  <c r="J86" i="2"/>
  <c r="H62" i="2"/>
  <c r="K62" i="2" s="1"/>
  <c r="I81" i="2"/>
  <c r="J44" i="2"/>
  <c r="J25" i="2"/>
  <c r="J23" i="2"/>
  <c r="M26" i="2"/>
  <c r="I24" i="2"/>
  <c r="I44" i="2"/>
  <c r="J24" i="2"/>
  <c r="I66" i="2"/>
  <c r="K66" i="2"/>
  <c r="J66" i="2"/>
  <c r="J4" i="2"/>
  <c r="H7" i="2"/>
  <c r="J7" i="2" s="1"/>
  <c r="I25" i="2"/>
  <c r="J3" i="2"/>
  <c r="K68" i="2"/>
  <c r="I68" i="2"/>
  <c r="I47" i="2"/>
  <c r="I30" i="2"/>
  <c r="J67" i="2"/>
  <c r="J29" i="2"/>
  <c r="I83" i="2"/>
  <c r="K49" i="2"/>
  <c r="K29" i="2"/>
  <c r="I67" i="2"/>
  <c r="J49" i="2"/>
  <c r="I61" i="2"/>
  <c r="K63" i="2"/>
  <c r="K48" i="2"/>
  <c r="I48" i="2"/>
  <c r="I41" i="2"/>
  <c r="J30" i="2"/>
  <c r="J61" i="2"/>
  <c r="I3" i="2"/>
  <c r="J41" i="2"/>
  <c r="I65" i="2"/>
  <c r="J83" i="2"/>
  <c r="J47" i="2"/>
  <c r="K47" i="2"/>
  <c r="I9" i="2"/>
  <c r="J11" i="2"/>
  <c r="I85" i="2"/>
  <c r="K85" i="2"/>
  <c r="J45" i="2"/>
  <c r="K45" i="2"/>
  <c r="K10" i="2"/>
  <c r="I22" i="2"/>
  <c r="J10" i="2"/>
  <c r="I11" i="2"/>
  <c r="J22" i="2"/>
  <c r="J79" i="2"/>
  <c r="J9" i="2"/>
  <c r="I46" i="2"/>
  <c r="J65" i="2"/>
  <c r="I63" i="2"/>
  <c r="I79" i="2"/>
  <c r="J60" i="2"/>
  <c r="H28" i="2"/>
  <c r="K28" i="2" s="1"/>
  <c r="M28" i="2"/>
  <c r="I4" i="2"/>
  <c r="H80" i="2"/>
  <c r="K80" i="2" s="1"/>
  <c r="M10" i="2"/>
  <c r="I82" i="2"/>
  <c r="I84" i="2"/>
  <c r="K84" i="2"/>
  <c r="J46" i="2"/>
  <c r="I42" i="2"/>
  <c r="J82" i="2"/>
  <c r="H27" i="2"/>
  <c r="K27" i="2" s="1"/>
  <c r="M31" i="2"/>
  <c r="M27" i="2"/>
  <c r="J8" i="2"/>
  <c r="I8" i="2"/>
  <c r="H64" i="2"/>
  <c r="K64" i="2" s="1"/>
  <c r="J42" i="2"/>
  <c r="K51" i="2"/>
  <c r="J51" i="2"/>
  <c r="I43" i="2"/>
  <c r="J84" i="2"/>
  <c r="I51" i="2"/>
  <c r="H6" i="2"/>
  <c r="K6" i="2" s="1"/>
  <c r="J43" i="2"/>
  <c r="I60" i="2"/>
  <c r="I23" i="2"/>
  <c r="K5" i="2" l="1"/>
  <c r="J26" i="2"/>
  <c r="I5" i="2"/>
  <c r="I26" i="2"/>
  <c r="I62" i="2"/>
  <c r="J62" i="2"/>
  <c r="I7" i="2"/>
  <c r="K7" i="2"/>
  <c r="J27" i="2"/>
  <c r="J6" i="2"/>
  <c r="I64" i="2"/>
  <c r="I80" i="2"/>
  <c r="J80" i="2"/>
  <c r="J28" i="2"/>
  <c r="I6" i="2"/>
  <c r="J64" i="2"/>
  <c r="I27" i="2"/>
  <c r="I28" i="2"/>
</calcChain>
</file>

<file path=xl/sharedStrings.xml><?xml version="1.0" encoding="utf-8"?>
<sst xmlns="http://schemas.openxmlformats.org/spreadsheetml/2006/main" count="84" uniqueCount="30">
  <si>
    <t>United States</t>
  </si>
  <si>
    <t>Texas</t>
  </si>
  <si>
    <t>Travis County</t>
  </si>
  <si>
    <t>City of Austin</t>
  </si>
  <si>
    <t>Source(s): American Community Survey, 1 Year Estimates - Detailed Tables </t>
  </si>
  <si>
    <t>                 S2701 - Health Insurance Coverage Status</t>
  </si>
  <si>
    <t>Additional information: Under 65 years with no private or public health insurance coverage for the civilian non-institutionalized population</t>
  </si>
  <si>
    <t>Year</t>
  </si>
  <si>
    <t>Numerator (Uninsured)</t>
  </si>
  <si>
    <t>% uninsured</t>
  </si>
  <si>
    <t>Austin MSA</t>
  </si>
  <si>
    <t>USA</t>
  </si>
  <si>
    <t>Denominator (Total Population under 65)</t>
  </si>
  <si>
    <t>Margin of Error (Uninsured)</t>
  </si>
  <si>
    <t>Margin of Error (Total Population Under 65)</t>
  </si>
  <si>
    <t>Margin of Error (% uninsured)</t>
  </si>
  <si>
    <t>Lower Estimate</t>
  </si>
  <si>
    <t>Upper Estimate</t>
  </si>
  <si>
    <t>Coefficient of Variation</t>
  </si>
  <si>
    <t>% insured</t>
  </si>
  <si>
    <t>Percent Change</t>
  </si>
  <si>
    <t>Numeric Change from 5 years back year</t>
  </si>
  <si>
    <t>For more information please read the announcement, available at https://www.census.gov/newsroom/press-releases/2021/changes-2020-acs-1-year.html</t>
  </si>
  <si>
    <t xml:space="preserve">                 B27001 - Health Insurance Coverage Status by Age for the Civilian Noninstitutionalized Population</t>
  </si>
  <si>
    <t>* The US Census Bureau did not release 2020 ACS 1-Year Data. Without the  data from the USCB, uninsured rates were not possible to determine.</t>
  </si>
  <si>
    <t>2020*</t>
  </si>
  <si>
    <t xml:space="preserve"> </t>
  </si>
  <si>
    <t>https://data.census.gov/table/ACSDT1Y2023.B27001?q=B27001&amp;g=050XX00US48453</t>
  </si>
  <si>
    <t>https://data.census.gov/table/ACSST1Y2023.S2701?q=s2701&amp;g=050XX00US48491,48209,48453_310XX00US12420_160XX00US4805000_040XX00US48_010XX00US</t>
  </si>
  <si>
    <t>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</si>
</sst>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Tw Cen MT"/>
      <family val="2"/>
      <scheme val="minor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sz val="11"/>
      <color theme="1"/>
      <name val="Tw Cen MT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sz val="10"/>
      <color theme="1"/>
      <name val="Tw Cen M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9" fontId="0" fillId="0" borderId="0" xfId="0" applyNumberFormat="1"/>
    <xf numFmtId="0" fontId="1" fillId="0" borderId="0" xfId="0" applyFont="1"/>
    <xf numFmtId="9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2" fontId="2" fillId="0" borderId="0" xfId="0" applyNumberFormat="1" applyFont="1"/>
    <xf numFmtId="164" fontId="1" fillId="0" borderId="0" xfId="1" applyNumberFormat="1" applyFont="1"/>
    <xf numFmtId="10" fontId="1" fillId="0" borderId="0" xfId="1" applyNumberFormat="1" applyFont="1"/>
    <xf numFmtId="10" fontId="1" fillId="0" borderId="0" xfId="0" applyNumberFormat="1" applyFont="1"/>
    <xf numFmtId="10" fontId="2" fillId="0" borderId="0" xfId="0" applyNumberFormat="1" applyFont="1"/>
    <xf numFmtId="10" fontId="2" fillId="0" borderId="0" xfId="2" applyNumberFormat="1" applyFont="1"/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164" fontId="6" fillId="0" borderId="0" xfId="1" applyNumberFormat="1" applyFont="1"/>
    <xf numFmtId="3" fontId="6" fillId="0" borderId="0" xfId="0" applyNumberFormat="1" applyFont="1"/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9" fontId="2" fillId="0" borderId="0" xfId="2" applyFont="1"/>
    <xf numFmtId="9" fontId="0" fillId="0" borderId="0" xfId="2" applyFont="1"/>
    <xf numFmtId="0" fontId="5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1" applyNumberFormat="1" applyFont="1"/>
    <xf numFmtId="165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79646"/>
      <color rgb="FF4F81BD"/>
      <color rgb="FFC0504D"/>
      <color rgb="FF9BBB59"/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Under Age 65 with no Health Insurance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'ACS 1 Yr Indicator'!$A$2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Indicator'!$H$2:$L$2</c:f>
              <c:numCache>
                <c:formatCode>0%</c:formatCode>
                <c:ptCount val="5"/>
                <c:pt idx="0">
                  <c:v>0.19</c:v>
                </c:pt>
                <c:pt idx="1">
                  <c:v>0.17030198493412632</c:v>
                </c:pt>
                <c:pt idx="2">
                  <c:v>0.14081284713948963</c:v>
                </c:pt>
                <c:pt idx="3">
                  <c:v>0.13521461251004085</c:v>
                </c:pt>
                <c:pt idx="4">
                  <c:v>0.13741661807981709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3-4539-A851-F99BDB0FF90E}"/>
            </c:ext>
          </c:extLst>
        </c:ser>
        <c:ser>
          <c:idx val="1"/>
          <c:order val="1"/>
          <c:tx>
            <c:strRef>
              <c:f>'ACS 1 Yr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Indicator'!$H$3:$L$3</c:f>
              <c:numCache>
                <c:formatCode>0%</c:formatCode>
                <c:ptCount val="5"/>
                <c:pt idx="0">
                  <c:v>0.18</c:v>
                </c:pt>
                <c:pt idx="1">
                  <c:v>0.15513512299897469</c:v>
                </c:pt>
                <c:pt idx="2">
                  <c:v>0.14168582008261005</c:v>
                </c:pt>
                <c:pt idx="3">
                  <c:v>0.12982075991712799</c:v>
                </c:pt>
                <c:pt idx="4">
                  <c:v>0.13431605311438699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3-4539-A851-F99BDB0FF90E}"/>
            </c:ext>
          </c:extLst>
        </c:ser>
        <c:ser>
          <c:idx val="2"/>
          <c:order val="2"/>
          <c:tx>
            <c:strRef>
              <c:f>'ACS 1 Yr Indicator'!$A$4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Indicator'!$H$4:$L$4</c:f>
              <c:numCache>
                <c:formatCode>0%</c:formatCode>
                <c:ptCount val="5"/>
                <c:pt idx="0">
                  <c:v>0.17</c:v>
                </c:pt>
                <c:pt idx="1">
                  <c:v>0.14114301853975045</c:v>
                </c:pt>
                <c:pt idx="2">
                  <c:v>0.13429249526205012</c:v>
                </c:pt>
                <c:pt idx="3">
                  <c:v>0.12944422718056187</c:v>
                </c:pt>
                <c:pt idx="4">
                  <c:v>0.13915078495915462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3-4539-A851-F99BDB0FF90E}"/>
            </c:ext>
          </c:extLst>
        </c:ser>
        <c:ser>
          <c:idx val="3"/>
          <c:order val="3"/>
          <c:tx>
            <c:strRef>
              <c:f>'ACS 1 Yr Indicator'!$A$5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Indicator'!$H$5:$L$5</c:f>
              <c:numCache>
                <c:formatCode>0%</c:formatCode>
                <c:ptCount val="5"/>
                <c:pt idx="0">
                  <c:v>0.21</c:v>
                </c:pt>
                <c:pt idx="1">
                  <c:v>0.19096231776888797</c:v>
                </c:pt>
                <c:pt idx="2">
                  <c:v>0.18599480326467191</c:v>
                </c:pt>
                <c:pt idx="3">
                  <c:v>0.19432728198344454</c:v>
                </c:pt>
                <c:pt idx="4">
                  <c:v>0.19955874508356997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53-4539-A851-F99BDB0FF90E}"/>
            </c:ext>
          </c:extLst>
        </c:ser>
        <c:ser>
          <c:idx val="4"/>
          <c:order val="4"/>
          <c:tx>
            <c:strRef>
              <c:f>'ACS 1 Yr Indicator'!$A$6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Indicator'!$H$6:$L$6</c:f>
              <c:numCache>
                <c:formatCode>0%</c:formatCode>
                <c:ptCount val="5"/>
                <c:pt idx="0">
                  <c:v>0.13</c:v>
                </c:pt>
                <c:pt idx="1">
                  <c:v>0.1087558136481204</c:v>
                </c:pt>
                <c:pt idx="2">
                  <c:v>9.9646664919944769E-2</c:v>
                </c:pt>
                <c:pt idx="3">
                  <c:v>0.1019</c:v>
                </c:pt>
                <c:pt idx="4">
                  <c:v>0.10388536678543929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53-4539-A851-F99BDB0F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886848"/>
        <c:axId val="228351384"/>
      </c:lineChart>
      <c:catAx>
        <c:axId val="2248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351384"/>
        <c:crosses val="autoZero"/>
        <c:auto val="1"/>
        <c:lblAlgn val="ctr"/>
        <c:lblOffset val="100"/>
        <c:noMultiLvlLbl val="0"/>
      </c:catAx>
      <c:valAx>
        <c:axId val="22835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48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Under Age 65 with </a:t>
            </a:r>
            <a:br>
              <a:rPr lang="en-US" sz="1200">
                <a:solidFill>
                  <a:schemeClr val="tx1"/>
                </a:solidFill>
              </a:rPr>
            </a:br>
            <a:r>
              <a:rPr lang="en-US" sz="1200">
                <a:solidFill>
                  <a:schemeClr val="tx1"/>
                </a:solidFill>
              </a:rPr>
              <a:t>No Health Insurance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'ACS 1 Yr Indicator'!$A$2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Indicator'!$G$1:$K$1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'ACS 1 Yr Indicator'!$G$2:$K$2</c:f>
              <c:numCache>
                <c:formatCode>0%</c:formatCode>
                <c:ptCount val="5"/>
                <c:pt idx="0">
                  <c:v>0.19888127596337293</c:v>
                </c:pt>
                <c:pt idx="1">
                  <c:v>0.19</c:v>
                </c:pt>
                <c:pt idx="2">
                  <c:v>0.17030198493412632</c:v>
                </c:pt>
                <c:pt idx="3">
                  <c:v>0.14081284713948963</c:v>
                </c:pt>
                <c:pt idx="4">
                  <c:v>0.13521461251004085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3-4732-9B97-6E39796C6542}"/>
            </c:ext>
          </c:extLst>
        </c:ser>
        <c:ser>
          <c:idx val="1"/>
          <c:order val="1"/>
          <c:tx>
            <c:strRef>
              <c:f>'ACS 1 Yr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Indicator'!$G$1:$K$1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'ACS 1 Yr Indicator'!$G$3:$K$3</c:f>
              <c:numCache>
                <c:formatCode>0%</c:formatCode>
                <c:ptCount val="5"/>
                <c:pt idx="0">
                  <c:v>0.19581638355539127</c:v>
                </c:pt>
                <c:pt idx="1">
                  <c:v>0.18</c:v>
                </c:pt>
                <c:pt idx="2">
                  <c:v>0.15513512299897469</c:v>
                </c:pt>
                <c:pt idx="3">
                  <c:v>0.14168582008261005</c:v>
                </c:pt>
                <c:pt idx="4">
                  <c:v>0.12982075991712799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3-4732-9B97-6E39796C6542}"/>
            </c:ext>
          </c:extLst>
        </c:ser>
        <c:ser>
          <c:idx val="2"/>
          <c:order val="2"/>
          <c:tx>
            <c:strRef>
              <c:f>'ACS 1 Yr Indicator'!$A$4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Indicator'!$G$1:$K$1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'ACS 1 Yr Indicator'!$G$4:$K$4</c:f>
              <c:numCache>
                <c:formatCode>0%</c:formatCode>
                <c:ptCount val="5"/>
                <c:pt idx="0">
                  <c:v>0.18969130071023621</c:v>
                </c:pt>
                <c:pt idx="1">
                  <c:v>0.17</c:v>
                </c:pt>
                <c:pt idx="2">
                  <c:v>0.14114301853975045</c:v>
                </c:pt>
                <c:pt idx="3">
                  <c:v>0.13429249526205012</c:v>
                </c:pt>
                <c:pt idx="4">
                  <c:v>0.12944422718056187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3-4732-9B97-6E39796C6542}"/>
            </c:ext>
          </c:extLst>
        </c:ser>
        <c:ser>
          <c:idx val="3"/>
          <c:order val="3"/>
          <c:tx>
            <c:strRef>
              <c:f>'ACS 1 Yr Indicator'!$A$5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Indicator'!$G$1:$K$1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'ACS 1 Yr Indicator'!$G$5:$K$5</c:f>
              <c:numCache>
                <c:formatCode>0%</c:formatCode>
                <c:ptCount val="5"/>
                <c:pt idx="0">
                  <c:v>0.24532850894232439</c:v>
                </c:pt>
                <c:pt idx="1">
                  <c:v>0.21</c:v>
                </c:pt>
                <c:pt idx="2">
                  <c:v>0.19096231776888797</c:v>
                </c:pt>
                <c:pt idx="3">
                  <c:v>0.18599480326467191</c:v>
                </c:pt>
                <c:pt idx="4">
                  <c:v>0.19432728198344454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B3-4732-9B97-6E39796C6542}"/>
            </c:ext>
          </c:extLst>
        </c:ser>
        <c:ser>
          <c:idx val="4"/>
          <c:order val="4"/>
          <c:tx>
            <c:strRef>
              <c:f>'ACS 1 Yr Indicator'!$A$6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Indicator'!$G$1:$K$1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'ACS 1 Yr Indicator'!$G$6:$K$6</c:f>
              <c:numCache>
                <c:formatCode>0%</c:formatCode>
                <c:ptCount val="5"/>
                <c:pt idx="0">
                  <c:v>0.16704356540004467</c:v>
                </c:pt>
                <c:pt idx="1">
                  <c:v>0.13</c:v>
                </c:pt>
                <c:pt idx="2">
                  <c:v>0.1087558136481204</c:v>
                </c:pt>
                <c:pt idx="3">
                  <c:v>9.9646664919944769E-2</c:v>
                </c:pt>
                <c:pt idx="4">
                  <c:v>0.1019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B3-4732-9B97-6E39796C6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51776"/>
        <c:axId val="228352168"/>
      </c:lineChart>
      <c:catAx>
        <c:axId val="2283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352168"/>
        <c:crosses val="autoZero"/>
        <c:auto val="1"/>
        <c:lblAlgn val="ctr"/>
        <c:lblOffset val="100"/>
        <c:noMultiLvlLbl val="0"/>
      </c:catAx>
      <c:valAx>
        <c:axId val="22835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35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4116985376827886E-2"/>
          <c:y val="0.82722575340733007"/>
          <c:w val="0.93417455171044772"/>
          <c:h val="0.15349713815893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6"/>
            <c:dispRSqr val="0"/>
            <c:dispEq val="0"/>
          </c:trendline>
          <c:cat>
            <c:strRef>
              <c:f>'ACS 1 Yr Indicator'!$L$1:$T$1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'ACS 1 Yr Indicator'!$L$2:$P$2</c:f>
              <c:numCache>
                <c:formatCode>0%</c:formatCode>
                <c:ptCount val="5"/>
                <c:pt idx="0">
                  <c:v>0.13741661807981709</c:v>
                </c:pt>
                <c:pt idx="1">
                  <c:v>0.15</c:v>
                </c:pt>
                <c:pt idx="3">
                  <c:v>0.13631074416800576</c:v>
                </c:pt>
                <c:pt idx="4">
                  <c:v>0.12661884941024232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A-4AA3-87E7-B00DCAD65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68488"/>
        <c:axId val="231168096"/>
      </c:lineChart>
      <c:catAx>
        <c:axId val="23116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168096"/>
        <c:crosses val="autoZero"/>
        <c:auto val="1"/>
        <c:lblAlgn val="ctr"/>
        <c:lblOffset val="100"/>
        <c:noMultiLvlLbl val="0"/>
      </c:catAx>
      <c:valAx>
        <c:axId val="231168096"/>
        <c:scaling>
          <c:orientation val="minMax"/>
          <c:max val="0.2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16848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Under Age 65 with no Health Insurance, 2008-2017</a:t>
            </a:r>
          </a:p>
        </c:rich>
      </c:tx>
      <c:layout>
        <c:manualLayout>
          <c:xMode val="edge"/>
          <c:yMode val="edge"/>
          <c:x val="0.11627032302220569"/>
          <c:y val="4.0959896793960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'ACS 1 Yr Indicator'!$A$2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'ACS 1 Yr Indicator'!$B$2:$K$2</c:f>
              <c:numCache>
                <c:formatCode>0%</c:formatCode>
                <c:ptCount val="10"/>
                <c:pt idx="0">
                  <c:v>0.25809625727905716</c:v>
                </c:pt>
                <c:pt idx="1">
                  <c:v>0.25413853064970537</c:v>
                </c:pt>
                <c:pt idx="2">
                  <c:v>0.23548859833005706</c:v>
                </c:pt>
                <c:pt idx="3">
                  <c:v>0.22475259518304533</c:v>
                </c:pt>
                <c:pt idx="4">
                  <c:v>0.2175630320102038</c:v>
                </c:pt>
                <c:pt idx="5">
                  <c:v>0.19888127596337293</c:v>
                </c:pt>
                <c:pt idx="6">
                  <c:v>0.19</c:v>
                </c:pt>
                <c:pt idx="7">
                  <c:v>0.17030198493412632</c:v>
                </c:pt>
                <c:pt idx="8">
                  <c:v>0.14081284713948963</c:v>
                </c:pt>
                <c:pt idx="9">
                  <c:v>0.13521461251004085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D-422E-9837-FD237979210C}"/>
            </c:ext>
          </c:extLst>
        </c:ser>
        <c:ser>
          <c:idx val="1"/>
          <c:order val="1"/>
          <c:tx>
            <c:strRef>
              <c:f>'ACS 1 Yr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'ACS 1 Yr Indicator'!$B$3:$K$3</c:f>
              <c:numCache>
                <c:formatCode>0%</c:formatCode>
                <c:ptCount val="10"/>
                <c:pt idx="0">
                  <c:v>0.23510760662287739</c:v>
                </c:pt>
                <c:pt idx="1">
                  <c:v>0.24391047639437236</c:v>
                </c:pt>
                <c:pt idx="2">
                  <c:v>0.22054986892366038</c:v>
                </c:pt>
                <c:pt idx="3">
                  <c:v>0.21288328941488768</c:v>
                </c:pt>
                <c:pt idx="4">
                  <c:v>0.20600632034769872</c:v>
                </c:pt>
                <c:pt idx="5">
                  <c:v>0.19581638355539127</c:v>
                </c:pt>
                <c:pt idx="6">
                  <c:v>0.18</c:v>
                </c:pt>
                <c:pt idx="7">
                  <c:v>0.15513512299897469</c:v>
                </c:pt>
                <c:pt idx="8">
                  <c:v>0.14168582008261005</c:v>
                </c:pt>
                <c:pt idx="9">
                  <c:v>0.12982075991712799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D-422E-9837-FD237979210C}"/>
            </c:ext>
          </c:extLst>
        </c:ser>
        <c:ser>
          <c:idx val="2"/>
          <c:order val="2"/>
          <c:tx>
            <c:strRef>
              <c:f>'ACS 1 Yr Indicator'!$A$4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'ACS 1 Yr Indicator'!$B$4:$K$4</c:f>
              <c:numCache>
                <c:formatCode>0%</c:formatCode>
                <c:ptCount val="10"/>
                <c:pt idx="0">
                  <c:v>0.22053779341075985</c:v>
                </c:pt>
                <c:pt idx="1">
                  <c:v>0.22082129730040978</c:v>
                </c:pt>
                <c:pt idx="2">
                  <c:v>0.20847555592253605</c:v>
                </c:pt>
                <c:pt idx="3">
                  <c:v>0.20363334732244154</c:v>
                </c:pt>
                <c:pt idx="4">
                  <c:v>0.19445560756097269</c:v>
                </c:pt>
                <c:pt idx="5">
                  <c:v>0.18969130071023621</c:v>
                </c:pt>
                <c:pt idx="6">
                  <c:v>0.17</c:v>
                </c:pt>
                <c:pt idx="7">
                  <c:v>0.14114301853975045</c:v>
                </c:pt>
                <c:pt idx="8">
                  <c:v>0.13429249526205012</c:v>
                </c:pt>
                <c:pt idx="9">
                  <c:v>0.12944422718056187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D-422E-9837-FD237979210C}"/>
            </c:ext>
          </c:extLst>
        </c:ser>
        <c:ser>
          <c:idx val="3"/>
          <c:order val="3"/>
          <c:tx>
            <c:strRef>
              <c:f>'ACS 1 Yr Indicator'!$A$5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'ACS 1 Yr Indicator'!$B$5:$K$5</c:f>
              <c:numCache>
                <c:formatCode>0%</c:formatCode>
                <c:ptCount val="10"/>
                <c:pt idx="0">
                  <c:v>0.26468697695822441</c:v>
                </c:pt>
                <c:pt idx="1">
                  <c:v>0.26258966205046791</c:v>
                </c:pt>
                <c:pt idx="2">
                  <c:v>0.26174398701094287</c:v>
                </c:pt>
                <c:pt idx="3">
                  <c:v>0.25434560082570135</c:v>
                </c:pt>
                <c:pt idx="4">
                  <c:v>0.24996473992166218</c:v>
                </c:pt>
                <c:pt idx="5">
                  <c:v>0.24532850894232439</c:v>
                </c:pt>
                <c:pt idx="6">
                  <c:v>0.21</c:v>
                </c:pt>
                <c:pt idx="7">
                  <c:v>0.19096231776888797</c:v>
                </c:pt>
                <c:pt idx="8">
                  <c:v>0.18599480326467191</c:v>
                </c:pt>
                <c:pt idx="9">
                  <c:v>0.19432728198344454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7D-422E-9837-FD237979210C}"/>
            </c:ext>
          </c:extLst>
        </c:ser>
        <c:ser>
          <c:idx val="4"/>
          <c:order val="4"/>
          <c:tx>
            <c:strRef>
              <c:f>'ACS 1 Yr Indicator'!$A$6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Indicator'!$B$1:$K$1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'ACS 1 Yr Indicator'!$B$6:$K$6</c:f>
              <c:numCache>
                <c:formatCode>0%</c:formatCode>
                <c:ptCount val="10"/>
                <c:pt idx="0">
                  <c:v>0.17046964553303651</c:v>
                </c:pt>
                <c:pt idx="1">
                  <c:v>0.17191500235275858</c:v>
                </c:pt>
                <c:pt idx="2">
                  <c:v>0.17657979248892605</c:v>
                </c:pt>
                <c:pt idx="3">
                  <c:v>0.17256288963588071</c:v>
                </c:pt>
                <c:pt idx="4">
                  <c:v>0.16929837515164534</c:v>
                </c:pt>
                <c:pt idx="5">
                  <c:v>0.16704356540004467</c:v>
                </c:pt>
                <c:pt idx="6">
                  <c:v>0.13</c:v>
                </c:pt>
                <c:pt idx="7">
                  <c:v>0.1087558136481204</c:v>
                </c:pt>
                <c:pt idx="8">
                  <c:v>9.9646664919944769E-2</c:v>
                </c:pt>
                <c:pt idx="9">
                  <c:v>0.1019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7D-422E-9837-FD2379792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67312"/>
        <c:axId val="231167704"/>
      </c:lineChart>
      <c:catAx>
        <c:axId val="23116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1167704"/>
        <c:crosses val="autoZero"/>
        <c:auto val="1"/>
        <c:lblAlgn val="ctr"/>
        <c:lblOffset val="100"/>
        <c:noMultiLvlLbl val="0"/>
      </c:catAx>
      <c:valAx>
        <c:axId val="23116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116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Under Age 65 with no Health Insurance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'ACS 1 Yr Indicator'!$A$2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Indicator'!$H$2:$L$2</c:f>
              <c:numCache>
                <c:formatCode>0%</c:formatCode>
                <c:ptCount val="5"/>
                <c:pt idx="0">
                  <c:v>0.19</c:v>
                </c:pt>
                <c:pt idx="1">
                  <c:v>0.17030198493412632</c:v>
                </c:pt>
                <c:pt idx="2">
                  <c:v>0.14081284713948963</c:v>
                </c:pt>
                <c:pt idx="3">
                  <c:v>0.13521461251004085</c:v>
                </c:pt>
                <c:pt idx="4">
                  <c:v>0.13741661807981709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3-4539-A851-F99BDB0FF90E}"/>
            </c:ext>
          </c:extLst>
        </c:ser>
        <c:ser>
          <c:idx val="1"/>
          <c:order val="1"/>
          <c:tx>
            <c:strRef>
              <c:f>'ACS 1 Yr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Indicator'!$H$3:$L$3</c:f>
              <c:numCache>
                <c:formatCode>0%</c:formatCode>
                <c:ptCount val="5"/>
                <c:pt idx="0">
                  <c:v>0.18</c:v>
                </c:pt>
                <c:pt idx="1">
                  <c:v>0.15513512299897469</c:v>
                </c:pt>
                <c:pt idx="2">
                  <c:v>0.14168582008261005</c:v>
                </c:pt>
                <c:pt idx="3">
                  <c:v>0.12982075991712799</c:v>
                </c:pt>
                <c:pt idx="4">
                  <c:v>0.13431605311438699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3-4539-A851-F99BDB0FF90E}"/>
            </c:ext>
          </c:extLst>
        </c:ser>
        <c:ser>
          <c:idx val="2"/>
          <c:order val="2"/>
          <c:tx>
            <c:strRef>
              <c:f>'ACS 1 Yr Indicator'!$A$4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Indicator'!$H$4:$L$4</c:f>
              <c:numCache>
                <c:formatCode>0%</c:formatCode>
                <c:ptCount val="5"/>
                <c:pt idx="0">
                  <c:v>0.17</c:v>
                </c:pt>
                <c:pt idx="1">
                  <c:v>0.14114301853975045</c:v>
                </c:pt>
                <c:pt idx="2">
                  <c:v>0.13429249526205012</c:v>
                </c:pt>
                <c:pt idx="3">
                  <c:v>0.12944422718056187</c:v>
                </c:pt>
                <c:pt idx="4">
                  <c:v>0.13915078495915462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3-4539-A851-F99BDB0FF90E}"/>
            </c:ext>
          </c:extLst>
        </c:ser>
        <c:ser>
          <c:idx val="3"/>
          <c:order val="3"/>
          <c:tx>
            <c:strRef>
              <c:f>'ACS 1 Yr Indicator'!$A$5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Indicator'!$H$5:$L$5</c:f>
              <c:numCache>
                <c:formatCode>0%</c:formatCode>
                <c:ptCount val="5"/>
                <c:pt idx="0">
                  <c:v>0.21</c:v>
                </c:pt>
                <c:pt idx="1">
                  <c:v>0.19096231776888797</c:v>
                </c:pt>
                <c:pt idx="2">
                  <c:v>0.18599480326467191</c:v>
                </c:pt>
                <c:pt idx="3">
                  <c:v>0.19432728198344454</c:v>
                </c:pt>
                <c:pt idx="4">
                  <c:v>0.19955874508356997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53-4539-A851-F99BDB0FF90E}"/>
            </c:ext>
          </c:extLst>
        </c:ser>
        <c:ser>
          <c:idx val="4"/>
          <c:order val="4"/>
          <c:tx>
            <c:strRef>
              <c:f>'ACS 1 Yr Indicator'!$A$6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'ACS 1 Yr Indicator'!$H$1:$L$1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'ACS 1 Yr Indicator'!$H$6:$L$6</c:f>
              <c:numCache>
                <c:formatCode>0%</c:formatCode>
                <c:ptCount val="5"/>
                <c:pt idx="0">
                  <c:v>0.13</c:v>
                </c:pt>
                <c:pt idx="1">
                  <c:v>0.1087558136481204</c:v>
                </c:pt>
                <c:pt idx="2">
                  <c:v>9.9646664919944769E-2</c:v>
                </c:pt>
                <c:pt idx="3">
                  <c:v>0.1019</c:v>
                </c:pt>
                <c:pt idx="4">
                  <c:v>0.10388536678543929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53-4539-A851-F99BDB0F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886848"/>
        <c:axId val="228351384"/>
      </c:lineChart>
      <c:catAx>
        <c:axId val="2248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351384"/>
        <c:crosses val="autoZero"/>
        <c:auto val="1"/>
        <c:lblAlgn val="ctr"/>
        <c:lblOffset val="100"/>
        <c:noMultiLvlLbl val="0"/>
      </c:catAx>
      <c:valAx>
        <c:axId val="22835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48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Percent of Travis County Residents Under Age 65 Who are Uninsured</a:t>
            </a:r>
          </a:p>
        </c:rich>
      </c:tx>
      <c:layout>
        <c:manualLayout>
          <c:xMode val="edge"/>
          <c:yMode val="edge"/>
          <c:x val="0.14254369516828999"/>
          <c:y val="1.944797365772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190574770739"/>
          <c:y val="0.1923982580220448"/>
          <c:w val="0.84467925394852694"/>
          <c:h val="0.52823348519886504"/>
        </c:manualLayout>
      </c:layout>
      <c:lineChart>
        <c:grouping val="standard"/>
        <c:varyColors val="0"/>
        <c:ser>
          <c:idx val="0"/>
          <c:order val="0"/>
          <c:tx>
            <c:strRef>
              <c:f>'ACS 1 Yr Indicator'!$A$2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'ACS 1 Yr Indicator'!$M$1:$Q$1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'ACS 1 Yr Indicator'!$M$2:$Q$2</c:f>
              <c:numCache>
                <c:formatCode>General</c:formatCode>
                <c:ptCount val="5"/>
                <c:pt idx="0" formatCode="0%">
                  <c:v>0.15</c:v>
                </c:pt>
                <c:pt idx="2" formatCode="0%">
                  <c:v>0.13631074416800576</c:v>
                </c:pt>
                <c:pt idx="3" formatCode="0%">
                  <c:v>0.12661884941024232</c:v>
                </c:pt>
                <c:pt idx="4" formatCode="0.0%">
                  <c:v>0.12213055831308001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F-4517-AD39-0F8F1CFAEFAC}"/>
            </c:ext>
          </c:extLst>
        </c:ser>
        <c:ser>
          <c:idx val="1"/>
          <c:order val="1"/>
          <c:tx>
            <c:strRef>
              <c:f>'ACS 1 Yr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'ACS 1 Yr Indicator'!$M$1:$Q$1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'ACS 1 Yr Indicator'!$M$3:$Q$3</c:f>
              <c:numCache>
                <c:formatCode>General</c:formatCode>
                <c:ptCount val="5"/>
                <c:pt idx="0" formatCode="0%">
                  <c:v>0.16</c:v>
                </c:pt>
                <c:pt idx="2" formatCode="0%">
                  <c:v>0.13751859437318098</c:v>
                </c:pt>
                <c:pt idx="3" formatCode="0%">
                  <c:v>0.11927695181972733</c:v>
                </c:pt>
                <c:pt idx="4" formatCode="0.0%">
                  <c:v>0.121975532319909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F-4517-AD39-0F8F1CFAEFAC}"/>
            </c:ext>
          </c:extLst>
        </c:ser>
        <c:ser>
          <c:idx val="2"/>
          <c:order val="2"/>
          <c:tx>
            <c:strRef>
              <c:f>'ACS 1 Yr Indicator'!$A$4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'ACS 1 Yr Indicator'!$M$1:$Q$1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'ACS 1 Yr Indicator'!$M$4:$Q$4</c:f>
              <c:numCache>
                <c:formatCode>General</c:formatCode>
                <c:ptCount val="5"/>
                <c:pt idx="0" formatCode="0%">
                  <c:v>0.15</c:v>
                </c:pt>
                <c:pt idx="2" formatCode="0%">
                  <c:v>0.14316871379337406</c:v>
                </c:pt>
                <c:pt idx="3" formatCode="0%">
                  <c:v>0.11960929644089641</c:v>
                </c:pt>
                <c:pt idx="4" formatCode="0.0%">
                  <c:v>0.124497190393215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F-4517-AD39-0F8F1CFAEFAC}"/>
            </c:ext>
          </c:extLst>
        </c:ser>
        <c:ser>
          <c:idx val="3"/>
          <c:order val="3"/>
          <c:tx>
            <c:strRef>
              <c:f>'ACS 1 Yr Indicator'!$A$5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'ACS 1 Yr Indicator'!$M$1:$Q$1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'ACS 1 Yr Indicator'!$M$5:$Q$5</c:f>
              <c:numCache>
                <c:formatCode>General</c:formatCode>
                <c:ptCount val="5"/>
                <c:pt idx="0" formatCode="0%">
                  <c:v>0.21</c:v>
                </c:pt>
                <c:pt idx="2" formatCode="0%">
                  <c:v>0.20417334258849856</c:v>
                </c:pt>
                <c:pt idx="3" formatCode="0%">
                  <c:v>0.18870962151921133</c:v>
                </c:pt>
                <c:pt idx="4" formatCode="0.0%">
                  <c:v>0.18664886466928199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1F-4517-AD39-0F8F1CFAEFAC}"/>
            </c:ext>
          </c:extLst>
        </c:ser>
        <c:ser>
          <c:idx val="4"/>
          <c:order val="4"/>
          <c:tx>
            <c:strRef>
              <c:f>'ACS 1 Yr Indicator'!$A$6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'ACS 1 Yr Indicator'!$M$1:$Q$1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'ACS 1 Yr Indicator'!$M$6:$Q$6</c:f>
              <c:numCache>
                <c:formatCode>General</c:formatCode>
                <c:ptCount val="5"/>
                <c:pt idx="0" formatCode="0%">
                  <c:v>0.11</c:v>
                </c:pt>
                <c:pt idx="2" formatCode="0%">
                  <c:v>0.10207531779561572</c:v>
                </c:pt>
                <c:pt idx="3" formatCode="0%">
                  <c:v>9.5300383674973038E-2</c:v>
                </c:pt>
                <c:pt idx="4" formatCode="0.0%">
                  <c:v>9.4416781225264798E-2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1F-4517-AD39-0F8F1CFA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41376"/>
        <c:axId val="230942160"/>
      </c:lineChart>
      <c:catAx>
        <c:axId val="2309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0942160"/>
        <c:crosses val="autoZero"/>
        <c:auto val="1"/>
        <c:lblAlgn val="ctr"/>
        <c:lblOffset val="100"/>
        <c:noMultiLvlLbl val="0"/>
      </c:catAx>
      <c:valAx>
        <c:axId val="2309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09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4116985376827886E-2"/>
          <c:y val="0.82722575340733007"/>
          <c:w val="0.93417455171044772"/>
          <c:h val="0.15349713815893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504825</xdr:colOff>
      <xdr:row>20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12</xdr:col>
      <xdr:colOff>149590</xdr:colOff>
      <xdr:row>23</xdr:row>
      <xdr:rowOff>117647</xdr:rowOff>
    </xdr:from>
    <xdr:to>
      <xdr:col>16</xdr:col>
      <xdr:colOff>427720</xdr:colOff>
      <xdr:row>38</xdr:row>
      <xdr:rowOff>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5531</xdr:colOff>
      <xdr:row>26</xdr:row>
      <xdr:rowOff>61451</xdr:rowOff>
    </xdr:from>
    <xdr:to>
      <xdr:col>3</xdr:col>
      <xdr:colOff>410308</xdr:colOff>
      <xdr:row>44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564771</xdr:colOff>
      <xdr:row>30</xdr:row>
      <xdr:rowOff>57025</xdr:rowOff>
    </xdr:from>
    <xdr:to>
      <xdr:col>16</xdr:col>
      <xdr:colOff>208067</xdr:colOff>
      <xdr:row>30</xdr:row>
      <xdr:rowOff>59003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2391011" y="5543425"/>
          <a:ext cx="3102776" cy="1978"/>
        </a:xfrm>
        <a:prstGeom prst="line">
          <a:avLst/>
        </a:prstGeom>
        <a:ln w="1905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840937</xdr:colOff>
      <xdr:row>30</xdr:row>
      <xdr:rowOff>125248</xdr:rowOff>
    </xdr:from>
    <xdr:to>
      <xdr:col>16</xdr:col>
      <xdr:colOff>589248</xdr:colOff>
      <xdr:row>32</xdr:row>
      <xdr:rowOff>40847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130217" y="5611648"/>
          <a:ext cx="1744751" cy="28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Target: 12% by 2025</a:t>
          </a:r>
        </a:p>
      </xdr:txBody>
    </xdr:sp>
    <xdr:clientData/>
  </xdr:twoCellAnchor>
  <xdr:twoCellAnchor>
    <xdr:from>
      <xdr:col>1</xdr:col>
      <xdr:colOff>445005</xdr:colOff>
      <xdr:row>35</xdr:row>
      <xdr:rowOff>40896</xdr:rowOff>
    </xdr:from>
    <xdr:to>
      <xdr:col>3</xdr:col>
      <xdr:colOff>283080</xdr:colOff>
      <xdr:row>35</xdr:row>
      <xdr:rowOff>40896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707678" y="6302774"/>
          <a:ext cx="1756035" cy="0"/>
        </a:xfrm>
        <a:prstGeom prst="line">
          <a:avLst/>
        </a:prstGeom>
        <a:ln w="254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382406</xdr:colOff>
      <xdr:row>35</xdr:row>
      <xdr:rowOff>60591</xdr:rowOff>
    </xdr:from>
    <xdr:to>
      <xdr:col>2</xdr:col>
      <xdr:colOff>758643</xdr:colOff>
      <xdr:row>36</xdr:row>
      <xdr:rowOff>120846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44908" y="6250582"/>
          <a:ext cx="1336290" cy="234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Target: 12% by 2025</a:t>
          </a:r>
        </a:p>
      </xdr:txBody>
    </xdr:sp>
    <xdr:clientData/>
  </xdr:twoCellAnchor>
  <xdr:twoCellAnchor>
    <xdr:from>
      <xdr:col>19</xdr:col>
      <xdr:colOff>52648</xdr:colOff>
      <xdr:row>4</xdr:row>
      <xdr:rowOff>174655</xdr:rowOff>
    </xdr:from>
    <xdr:to>
      <xdr:col>25</xdr:col>
      <xdr:colOff>518334</xdr:colOff>
      <xdr:row>20</xdr:row>
      <xdr:rowOff>174654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828261</xdr:colOff>
      <xdr:row>27</xdr:row>
      <xdr:rowOff>33131</xdr:rowOff>
    </xdr:from>
    <xdr:to>
      <xdr:col>7</xdr:col>
      <xdr:colOff>285831</xdr:colOff>
      <xdr:row>45</xdr:row>
      <xdr:rowOff>34997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74522" y="4936435"/>
          <a:ext cx="2328874" cy="3182388"/>
        </a:xfrm>
        <a:prstGeom prst="rect">
          <a:avLst/>
        </a:prstGeom>
      </xdr:spPr>
    </xdr:pic>
    <xdr:clientData/>
  </xdr:twoCellAnchor>
  <xdr:twoCellAnchor>
    <xdr:from>
      <xdr:col>12</xdr:col>
      <xdr:colOff>185611</xdr:colOff>
      <xdr:row>38</xdr:row>
      <xdr:rowOff>16585</xdr:rowOff>
    </xdr:from>
    <xdr:to>
      <xdr:col>16</xdr:col>
      <xdr:colOff>472375</xdr:colOff>
      <xdr:row>52</xdr:row>
      <xdr:rowOff>78980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432729</xdr:colOff>
      <xdr:row>53</xdr:row>
      <xdr:rowOff>150558</xdr:rowOff>
    </xdr:from>
    <xdr:to>
      <xdr:col>14</xdr:col>
      <xdr:colOff>541444</xdr:colOff>
      <xdr:row>53</xdr:row>
      <xdr:rowOff>156651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0730096" y="9584844"/>
          <a:ext cx="2876797" cy="6093"/>
        </a:xfrm>
        <a:prstGeom prst="line">
          <a:avLst/>
        </a:prstGeom>
        <a:ln w="254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624633</xdr:colOff>
      <xdr:row>54</xdr:row>
      <xdr:rowOff>22517</xdr:rowOff>
    </xdr:from>
    <xdr:to>
      <xdr:col>14</xdr:col>
      <xdr:colOff>617164</xdr:colOff>
      <xdr:row>55</xdr:row>
      <xdr:rowOff>81646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347511" y="9633048"/>
          <a:ext cx="1335102" cy="235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Target: 12% by 2020</a:t>
          </a:r>
        </a:p>
      </xdr:txBody>
    </xdr:sp>
    <xdr:clientData/>
  </xdr:twoCellAnchor>
  <xdr:twoCellAnchor>
    <xdr:from>
      <xdr:col>13</xdr:col>
      <xdr:colOff>72972</xdr:colOff>
      <xdr:row>52</xdr:row>
      <xdr:rowOff>127668</xdr:rowOff>
    </xdr:from>
    <xdr:to>
      <xdr:col>16</xdr:col>
      <xdr:colOff>1143582</xdr:colOff>
      <xdr:row>67</xdr:row>
      <xdr:rowOff>10597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A2F30A3-1B06-4ED6-8B2F-B40C98B34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282372</xdr:colOff>
      <xdr:row>21</xdr:row>
      <xdr:rowOff>87276</xdr:rowOff>
    </xdr:from>
    <xdr:to>
      <xdr:col>12</xdr:col>
      <xdr:colOff>66745</xdr:colOff>
      <xdr:row>35</xdr:row>
      <xdr:rowOff>178716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D9A0C5A4-724A-DA9F-7B64-532CEBD9BE67}"/>
            </a:ext>
          </a:extLst>
        </xdr:cNvPr>
        <xdr:cNvGrpSpPr/>
      </xdr:nvGrpSpPr>
      <xdr:grpSpPr>
        <a:xfrm>
          <a:off x="8315122" y="3865526"/>
          <a:ext cx="3594373" cy="2610273"/>
          <a:chOff x="8315122" y="3865526"/>
          <a:chExt cx="3594373" cy="2610273"/>
        </a:xfrm>
      </xdr:grpSpPr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aphicFramePr>
            <a:graphicFrameLocks/>
          </xdr:cNvGraphicFramePr>
        </xdr:nvGraphicFramePr>
        <xdr:xfrm>
          <a:off x="8315122" y="3865526"/>
          <a:ext cx="3594373" cy="26102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63233F60-6B56-4C16-ACDE-9D7F807D08B0}"/>
              </a:ext>
            </a:extLst>
          </xdr:cNvPr>
          <xdr:cNvCxnSpPr/>
        </xdr:nvCxnSpPr>
        <xdr:spPr>
          <a:xfrm>
            <a:off x="8731105" y="5094318"/>
            <a:ext cx="3000046" cy="2967"/>
          </a:xfrm>
          <a:prstGeom prst="line">
            <a:avLst/>
          </a:prstGeom>
          <a:ln w="19050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F6CE38F5-4F77-4FF0-AD5E-5961E78E18B5}"/>
              </a:ext>
            </a:extLst>
          </xdr:cNvPr>
          <xdr:cNvSpPr txBox="1"/>
        </xdr:nvSpPr>
        <xdr:spPr>
          <a:xfrm>
            <a:off x="10267574" y="5205749"/>
            <a:ext cx="1473414" cy="2870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Target: 12% by 2025</a:t>
            </a:r>
          </a:p>
        </xdr:txBody>
      </xdr:sp>
    </xdr:grpSp>
    <xdr:clientData/>
  </xdr:twoCellAnchor>
  <xdr:twoCellAnchor editAs="oneCell">
    <xdr:from>
      <xdr:col>7</xdr:col>
      <xdr:colOff>548640</xdr:colOff>
      <xdr:row>37</xdr:row>
      <xdr:rowOff>76200</xdr:rowOff>
    </xdr:from>
    <xdr:to>
      <xdr:col>12</xdr:col>
      <xdr:colOff>476826</xdr:colOff>
      <xdr:row>51</xdr:row>
      <xdr:rowOff>167870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D57D962-1EE5-4B75-83D8-9BB46465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80120" y="6842760"/>
          <a:ext cx="3722946" cy="2651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topLeftCell="A19" zoomScale="90" zoomScaleNormal="90" workbookViewId="0">
      <selection activeCell="I20" sqref="I20"/>
    </sheetView>
  </sheetViews>
  <sheetFormatPr defaultRowHeight="14.25" x14ac:dyDescent="0.2"/>
  <cols>
    <col min="1" max="1" width="29.75" customWidth="1"/>
    <col min="2" max="4" width="12.625" customWidth="1"/>
    <col min="5" max="6" width="12.625" style="18" customWidth="1"/>
    <col min="7" max="7" width="12.5" style="18" customWidth="1"/>
    <col min="8" max="10" width="10" style="18" customWidth="1"/>
    <col min="11" max="11" width="11" customWidth="1"/>
    <col min="13" max="13" width="10.25" customWidth="1"/>
    <col min="14" max="14" width="8.75" customWidth="1"/>
    <col min="15" max="15" width="13.375" customWidth="1"/>
    <col min="16" max="16" width="12.75" customWidth="1"/>
    <col min="17" max="17" width="15.25" customWidth="1"/>
    <col min="18" max="18" width="15.75" customWidth="1"/>
    <col min="19" max="19" width="14.75" customWidth="1"/>
  </cols>
  <sheetData>
    <row r="1" spans="1:25" x14ac:dyDescent="0.2">
      <c r="A1" s="4"/>
      <c r="B1" s="2">
        <v>2008</v>
      </c>
      <c r="C1" s="2">
        <v>2009</v>
      </c>
      <c r="D1" s="2">
        <v>2010</v>
      </c>
      <c r="E1" s="14">
        <v>2011</v>
      </c>
      <c r="F1" s="14">
        <v>2012</v>
      </c>
      <c r="G1" s="14">
        <v>2013</v>
      </c>
      <c r="H1" s="14">
        <v>2014</v>
      </c>
      <c r="I1" s="14">
        <v>2015</v>
      </c>
      <c r="J1" s="14">
        <v>2016</v>
      </c>
      <c r="K1" s="14">
        <v>2017</v>
      </c>
      <c r="L1" s="14">
        <v>2018</v>
      </c>
      <c r="M1" s="14">
        <v>2019</v>
      </c>
      <c r="N1" s="23" t="s">
        <v>25</v>
      </c>
      <c r="O1" s="14">
        <v>2021</v>
      </c>
      <c r="P1" s="14">
        <v>2022</v>
      </c>
      <c r="Q1" s="14">
        <v>2023</v>
      </c>
      <c r="R1" s="14">
        <v>2024</v>
      </c>
      <c r="S1" s="14">
        <v>2025</v>
      </c>
      <c r="T1" s="14">
        <v>2026</v>
      </c>
      <c r="U1" s="14">
        <v>2027</v>
      </c>
      <c r="V1" s="14">
        <v>2028</v>
      </c>
      <c r="W1" s="14">
        <v>2029</v>
      </c>
      <c r="X1" s="14">
        <v>2030</v>
      </c>
      <c r="Y1" s="14"/>
    </row>
    <row r="2" spans="1:25" x14ac:dyDescent="0.2">
      <c r="A2" s="4" t="s">
        <v>29</v>
      </c>
      <c r="B2" s="3">
        <f>185708/719530</f>
        <v>0.25809625727905716</v>
      </c>
      <c r="C2" s="3">
        <f>(13952+98106+12886+61690)/(90106+298007+85273+260993)</f>
        <v>0.25413853064970537</v>
      </c>
      <c r="D2" s="3">
        <f>(22931+150293)/(178506+557088)</f>
        <v>0.23548859833005706</v>
      </c>
      <c r="E2" s="15">
        <f>(150640+20056)/(579373+180111)</f>
        <v>0.22475259518304533</v>
      </c>
      <c r="F2" s="15">
        <f>(18935+150445)/(182330+596203)</f>
        <v>0.2175630320102038</v>
      </c>
      <c r="G2" s="15">
        <f>(13947+148255)/(193175+622397)</f>
        <v>0.19888127596337293</v>
      </c>
      <c r="H2" s="15">
        <v>0.19</v>
      </c>
      <c r="I2" s="15">
        <v>0.17030198493412632</v>
      </c>
      <c r="J2" s="15">
        <v>0.14081284713948963</v>
      </c>
      <c r="K2" s="3">
        <v>0.13521461251004085</v>
      </c>
      <c r="L2" s="22">
        <v>0.13741661807981709</v>
      </c>
      <c r="M2" s="1">
        <v>0.15</v>
      </c>
      <c r="O2" s="22">
        <v>0.13631074416800576</v>
      </c>
      <c r="P2" s="22">
        <v>0.12661884941024232</v>
      </c>
      <c r="Q2" s="27">
        <v>0.12213055831308001</v>
      </c>
    </row>
    <row r="3" spans="1:25" x14ac:dyDescent="0.2">
      <c r="A3" s="4" t="s">
        <v>2</v>
      </c>
      <c r="B3" s="3">
        <f>217483/925036</f>
        <v>0.23510760662287739</v>
      </c>
      <c r="C3" s="3">
        <f>(20328+116397+18481+77208)/(126203+370059+120252+336352)</f>
        <v>0.24391047639437236</v>
      </c>
      <c r="D3" s="3">
        <f>(28491+181330)/(246097+705257)</f>
        <v>0.22054986892366038</v>
      </c>
      <c r="E3" s="15">
        <f>(181207+26982)/(724328+253621)</f>
        <v>0.21288328941488768</v>
      </c>
      <c r="F3" s="15">
        <f>(25457+181581)/(259894+745114)</f>
        <v>0.20600632034769872</v>
      </c>
      <c r="G3" s="15">
        <f>(23256+177521)/(260904+764429)</f>
        <v>0.19581638355539127</v>
      </c>
      <c r="H3" s="15">
        <v>0.18</v>
      </c>
      <c r="I3" s="15">
        <v>0.15513512299897469</v>
      </c>
      <c r="J3" s="15">
        <v>0.14168582008261005</v>
      </c>
      <c r="K3" s="3">
        <v>0.12982075991712799</v>
      </c>
      <c r="L3" s="22">
        <v>0.13431605311438699</v>
      </c>
      <c r="M3" s="1">
        <v>0.16</v>
      </c>
      <c r="O3" s="22">
        <v>0.13751859437318098</v>
      </c>
      <c r="P3" s="22">
        <v>0.11927695181972733</v>
      </c>
      <c r="Q3" s="27">
        <v>0.121975532319909</v>
      </c>
    </row>
    <row r="4" spans="1:25" x14ac:dyDescent="0.2">
      <c r="A4" s="4" t="s">
        <v>10</v>
      </c>
      <c r="B4" s="3">
        <f>333181/1510766</f>
        <v>0.22053779341075985</v>
      </c>
      <c r="C4" s="3">
        <f>(30029+167160+29826+118132)/(218595+584418+212848+547154)</f>
        <v>0.22082129730040978</v>
      </c>
      <c r="D4" s="3">
        <f>(47036+281190)/(434514+1139896)</f>
        <v>0.20847555592253605</v>
      </c>
      <c r="E4" s="15">
        <f>(282706+47728)/(1175850+446841)</f>
        <v>0.20363334732244154</v>
      </c>
      <c r="F4" s="15">
        <f>(44048+279180)/(456692+1205528)</f>
        <v>0.19445560756097269</v>
      </c>
      <c r="G4" s="15">
        <f>(44642+277539)/(461924+1236525)</f>
        <v>0.18969130071023621</v>
      </c>
      <c r="H4" s="15">
        <v>0.17</v>
      </c>
      <c r="I4" s="15">
        <v>0.14114301853975045</v>
      </c>
      <c r="J4" s="15">
        <v>0.13429249526205012</v>
      </c>
      <c r="K4" s="3">
        <v>0.12944422718056187</v>
      </c>
      <c r="L4" s="22">
        <v>0.13915078495915462</v>
      </c>
      <c r="M4" s="1">
        <v>0.15</v>
      </c>
      <c r="O4" s="22">
        <v>0.14316871379337406</v>
      </c>
      <c r="P4" s="22">
        <v>0.11960929644089641</v>
      </c>
      <c r="Q4" s="27">
        <v>0.124497190393215</v>
      </c>
    </row>
    <row r="5" spans="1:25" x14ac:dyDescent="0.2">
      <c r="A5" s="4" t="s">
        <v>1</v>
      </c>
      <c r="B5" s="3">
        <f>5682187/21467573</f>
        <v>0.26468697695822441</v>
      </c>
      <c r="C5" s="3">
        <f>(564864+2442050+554821+2176535)/(3513625+7428482+3364105+7546400)</f>
        <v>0.26258966205046791</v>
      </c>
      <c r="D5" s="3">
        <f>(996493+4825406)/(6876022+15366701)</f>
        <v>0.26174398701094287</v>
      </c>
      <c r="E5" s="15">
        <f>(4824280+916522)/(15623903+6946969)</f>
        <v>0.25434560082570135</v>
      </c>
      <c r="F5" s="15">
        <f>(863290+4843493)/(6971878+15858474)</f>
        <v>0.24996473992166218</v>
      </c>
      <c r="G5" s="15">
        <f>(888305+4801933)/(7028782+16165579)</f>
        <v>0.24532850894232439</v>
      </c>
      <c r="H5" s="15">
        <v>0.21</v>
      </c>
      <c r="I5" s="15">
        <v>0.19096231776888797</v>
      </c>
      <c r="J5" s="15">
        <v>0.18599480326467191</v>
      </c>
      <c r="K5" s="3">
        <v>0.19432728198344454</v>
      </c>
      <c r="L5" s="22">
        <v>0.19955874508356997</v>
      </c>
      <c r="M5" s="1">
        <v>0.21</v>
      </c>
      <c r="O5" s="22">
        <v>0.20417334258849856</v>
      </c>
      <c r="P5" s="22">
        <v>0.18870962151921133</v>
      </c>
      <c r="Q5" s="27">
        <v>0.18664886466928199</v>
      </c>
    </row>
    <row r="6" spans="1:25" x14ac:dyDescent="0.2">
      <c r="A6" s="4" t="s">
        <v>11</v>
      </c>
      <c r="B6" s="3">
        <f>44554848/261365288</f>
        <v>0.17046964553303651</v>
      </c>
      <c r="C6" s="3">
        <f>(3267512+21551159+3101511+17386225)/(38041645+93184758+36316708+95996466)</f>
        <v>0.17191500235275858</v>
      </c>
      <c r="D6" s="3">
        <f>(5918388+40902730)/(74017524+191138060)</f>
        <v>0.17657979248892605</v>
      </c>
      <c r="E6" s="15">
        <f>(40455941+5527657)/(192699903+73774529)</f>
        <v>0.17256288963588071</v>
      </c>
      <c r="F6" s="15">
        <f>(5263807+39948423)/(73577504+193478987)</f>
        <v>0.16929837515164534</v>
      </c>
      <c r="G6" s="15">
        <f>(5234332+39500682)/(73446062+194358411)</f>
        <v>0.16704356540004467</v>
      </c>
      <c r="H6" s="15">
        <v>0.13</v>
      </c>
      <c r="I6" s="15">
        <v>0.1087558136481204</v>
      </c>
      <c r="J6" s="15">
        <v>9.9646664919944769E-2</v>
      </c>
      <c r="K6" s="21">
        <v>0.1019</v>
      </c>
      <c r="L6" s="22">
        <v>0.10388536678543929</v>
      </c>
      <c r="M6" s="1">
        <v>0.11</v>
      </c>
      <c r="O6" s="22">
        <v>0.10207531779561572</v>
      </c>
      <c r="P6" s="22">
        <v>9.5300383674973038E-2</v>
      </c>
      <c r="Q6" s="27">
        <v>9.4416781225264798E-2</v>
      </c>
    </row>
    <row r="9" spans="1:25" x14ac:dyDescent="0.2">
      <c r="A9" s="4"/>
      <c r="B9" s="2">
        <v>2008</v>
      </c>
      <c r="C9" s="2">
        <v>2009</v>
      </c>
      <c r="D9" s="2">
        <v>2010</v>
      </c>
      <c r="E9" s="14">
        <v>2011</v>
      </c>
      <c r="F9" s="14">
        <v>2012</v>
      </c>
      <c r="G9" s="14">
        <v>2013</v>
      </c>
      <c r="H9" s="14">
        <v>2014</v>
      </c>
      <c r="I9" s="14">
        <v>2015</v>
      </c>
      <c r="J9" s="14">
        <v>2016</v>
      </c>
      <c r="K9" s="14">
        <v>2017</v>
      </c>
      <c r="L9" s="14">
        <v>2018</v>
      </c>
      <c r="M9" s="14">
        <v>2019</v>
      </c>
      <c r="N9" s="23" t="s">
        <v>25</v>
      </c>
      <c r="O9" s="14">
        <v>2021</v>
      </c>
      <c r="P9" s="14">
        <v>2022</v>
      </c>
      <c r="Q9" s="14">
        <v>2023</v>
      </c>
    </row>
    <row r="10" spans="1:25" x14ac:dyDescent="0.2">
      <c r="A10" s="13" t="s">
        <v>0</v>
      </c>
      <c r="B10" s="5">
        <f>7329046+37225802</f>
        <v>44554848</v>
      </c>
      <c r="C10" s="5">
        <f>6369023+38937384</f>
        <v>45306407</v>
      </c>
      <c r="D10" s="5">
        <f>5918388+40902730</f>
        <v>46821118</v>
      </c>
      <c r="E10" s="16">
        <f>5527657+40455941</f>
        <v>45983598</v>
      </c>
      <c r="F10" s="16">
        <v>45212230</v>
      </c>
      <c r="G10" s="16">
        <f>(5234332+39500682)</f>
        <v>44735014</v>
      </c>
      <c r="H10" s="17">
        <v>36246622</v>
      </c>
      <c r="I10" s="17">
        <v>29365543</v>
      </c>
      <c r="J10" s="17">
        <v>26931512</v>
      </c>
      <c r="K10" s="19">
        <v>27633466</v>
      </c>
      <c r="L10" s="17">
        <v>28164584</v>
      </c>
      <c r="M10" s="17">
        <v>29227002</v>
      </c>
      <c r="O10" s="16">
        <v>27781901</v>
      </c>
      <c r="P10" s="16">
        <v>25911100</v>
      </c>
      <c r="Q10" s="26">
        <v>25690481</v>
      </c>
    </row>
    <row r="11" spans="1:25" x14ac:dyDescent="0.2">
      <c r="A11" s="4" t="s">
        <v>1</v>
      </c>
      <c r="B11" s="5">
        <f>1195974+4486213</f>
        <v>5682187</v>
      </c>
      <c r="C11" s="5">
        <f>1119685+4618585</f>
        <v>5738270</v>
      </c>
      <c r="D11" s="5">
        <f>996493+4825406</f>
        <v>5821899</v>
      </c>
      <c r="E11" s="16">
        <f>916522+4824280</f>
        <v>5740802</v>
      </c>
      <c r="F11" s="16">
        <f>863290+4843493</f>
        <v>5706783</v>
      </c>
      <c r="G11" s="16">
        <f>(888305+4801933)</f>
        <v>5690238</v>
      </c>
      <c r="H11" s="17">
        <v>4988539</v>
      </c>
      <c r="I11" s="17">
        <v>4555408</v>
      </c>
      <c r="J11" s="17">
        <v>4487295</v>
      </c>
      <c r="K11" s="19">
        <v>4754647</v>
      </c>
      <c r="L11" s="17">
        <v>4934801</v>
      </c>
      <c r="M11" s="17">
        <v>5169072</v>
      </c>
      <c r="O11" s="16">
        <v>5153327</v>
      </c>
      <c r="P11" s="16">
        <v>4829621</v>
      </c>
      <c r="Q11" s="26">
        <v>4837228</v>
      </c>
    </row>
    <row r="12" spans="1:25" x14ac:dyDescent="0.2">
      <c r="A12" s="4" t="s">
        <v>10</v>
      </c>
      <c r="B12" s="5">
        <f>70235+262946</f>
        <v>333181</v>
      </c>
      <c r="C12" s="5">
        <f>59855+285292</f>
        <v>345147</v>
      </c>
      <c r="D12" s="5">
        <f>47036+281190</f>
        <v>328226</v>
      </c>
      <c r="E12" s="16">
        <f>47728+282706</f>
        <v>330434</v>
      </c>
      <c r="F12" s="16">
        <f>44048+279180</f>
        <v>323228</v>
      </c>
      <c r="G12" s="16">
        <f>(44642+277539)</f>
        <v>322181</v>
      </c>
      <c r="H12" s="17">
        <v>297133</v>
      </c>
      <c r="I12" s="17">
        <v>252858</v>
      </c>
      <c r="J12" s="17">
        <v>246026</v>
      </c>
      <c r="K12" s="19">
        <v>243613</v>
      </c>
      <c r="L12" s="17">
        <v>267210</v>
      </c>
      <c r="M12" s="17">
        <v>298659</v>
      </c>
      <c r="O12" s="16">
        <v>295528</v>
      </c>
      <c r="P12" s="16">
        <v>253360</v>
      </c>
      <c r="Q12" s="26">
        <v>268216</v>
      </c>
    </row>
    <row r="13" spans="1:25" x14ac:dyDescent="0.2">
      <c r="A13" s="4" t="s">
        <v>2</v>
      </c>
      <c r="B13" s="5">
        <f>46075+171408</f>
        <v>217483</v>
      </c>
      <c r="C13" s="5">
        <f>38809+193605</f>
        <v>232414</v>
      </c>
      <c r="D13" s="5">
        <f>28491+181330</f>
        <v>209821</v>
      </c>
      <c r="E13" s="16">
        <f>26982+181207</f>
        <v>208189</v>
      </c>
      <c r="F13" s="16">
        <f>25457+181581</f>
        <v>207038</v>
      </c>
      <c r="G13" s="16">
        <f>(23256+177521)</f>
        <v>200777</v>
      </c>
      <c r="H13" s="17">
        <v>188561</v>
      </c>
      <c r="I13" s="17">
        <v>165832</v>
      </c>
      <c r="J13" s="17">
        <v>153743</v>
      </c>
      <c r="K13" s="20">
        <v>143430</v>
      </c>
      <c r="L13" s="17">
        <v>150373</v>
      </c>
      <c r="M13" s="17">
        <v>177906</v>
      </c>
      <c r="O13" s="16">
        <v>159470</v>
      </c>
      <c r="P13" s="16">
        <v>140391</v>
      </c>
      <c r="Q13" s="26">
        <v>143533</v>
      </c>
    </row>
    <row r="14" spans="1:25" x14ac:dyDescent="0.2">
      <c r="A14" s="4" t="s">
        <v>29</v>
      </c>
      <c r="B14" s="5">
        <f>37037+148671</f>
        <v>185708</v>
      </c>
      <c r="C14" s="5">
        <f>26838+159796</f>
        <v>186634</v>
      </c>
      <c r="D14" s="5">
        <f>22931+150293</f>
        <v>173224</v>
      </c>
      <c r="E14" s="16">
        <f>20056+150640</f>
        <v>170696</v>
      </c>
      <c r="F14" s="16">
        <f>18935+150445</f>
        <v>169380</v>
      </c>
      <c r="G14" s="16">
        <f>(13947+148255)</f>
        <v>162202</v>
      </c>
      <c r="H14" s="17">
        <v>155292</v>
      </c>
      <c r="I14" s="17">
        <v>145435</v>
      </c>
      <c r="J14" s="17">
        <v>121742</v>
      </c>
      <c r="K14" s="19">
        <v>116148</v>
      </c>
      <c r="L14" s="17">
        <v>119730</v>
      </c>
      <c r="M14" s="17">
        <v>132457</v>
      </c>
      <c r="O14" s="16">
        <v>118080</v>
      </c>
      <c r="P14" s="16">
        <v>109785</v>
      </c>
      <c r="Q14" s="26">
        <v>107034</v>
      </c>
    </row>
    <row r="15" spans="1:25" x14ac:dyDescent="0.2">
      <c r="B15" s="1"/>
      <c r="C15" s="1"/>
    </row>
    <row r="16" spans="1:25" x14ac:dyDescent="0.2">
      <c r="A16" s="4" t="s">
        <v>20</v>
      </c>
    </row>
    <row r="18" spans="1:5" x14ac:dyDescent="0.2">
      <c r="A18" t="s">
        <v>24</v>
      </c>
    </row>
    <row r="19" spans="1:5" x14ac:dyDescent="0.2">
      <c r="A19" t="s">
        <v>22</v>
      </c>
    </row>
    <row r="21" spans="1:5" x14ac:dyDescent="0.2">
      <c r="A21" t="s">
        <v>6</v>
      </c>
    </row>
    <row r="22" spans="1:5" x14ac:dyDescent="0.2">
      <c r="A22" t="s">
        <v>4</v>
      </c>
    </row>
    <row r="23" spans="1:5" ht="14.25" customHeight="1" x14ac:dyDescent="0.2">
      <c r="A23" t="s">
        <v>5</v>
      </c>
      <c r="D23" s="25" t="s">
        <v>28</v>
      </c>
      <c r="E23" s="24"/>
    </row>
    <row r="24" spans="1:5" x14ac:dyDescent="0.2">
      <c r="A24" t="s">
        <v>23</v>
      </c>
      <c r="C24" t="s">
        <v>26</v>
      </c>
      <c r="D24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4"/>
  <sheetViews>
    <sheetView topLeftCell="A49" zoomScale="70" zoomScaleNormal="70" workbookViewId="0">
      <selection activeCell="F99" sqref="F99"/>
    </sheetView>
  </sheetViews>
  <sheetFormatPr defaultColWidth="9" defaultRowHeight="12.75" x14ac:dyDescent="0.2"/>
  <cols>
    <col min="1" max="1" width="14.625" style="4" customWidth="1"/>
    <col min="2" max="2" width="22.75" style="4" customWidth="1"/>
    <col min="3" max="3" width="35.875" style="4" customWidth="1"/>
    <col min="4" max="5" width="22.75" style="4" customWidth="1"/>
    <col min="6" max="6" width="24" style="4" customWidth="1"/>
    <col min="7" max="7" width="35.625" style="4" customWidth="1"/>
    <col min="8" max="8" width="25.375" style="4" customWidth="1"/>
    <col min="9" max="9" width="14.25" style="4" customWidth="1"/>
    <col min="10" max="10" width="15.375" style="4" customWidth="1"/>
    <col min="11" max="11" width="20.75" style="4" customWidth="1"/>
    <col min="12" max="12" width="13.25" style="4" customWidth="1"/>
    <col min="13" max="16384" width="9" style="4"/>
  </cols>
  <sheetData>
    <row r="1" spans="1:13" x14ac:dyDescent="0.2">
      <c r="A1" s="4" t="s">
        <v>3</v>
      </c>
      <c r="D1" s="10"/>
      <c r="E1" s="10"/>
      <c r="I1" s="10"/>
      <c r="J1" s="10"/>
    </row>
    <row r="2" spans="1:13" x14ac:dyDescent="0.2">
      <c r="A2" s="2" t="s">
        <v>7</v>
      </c>
      <c r="B2" s="2" t="s">
        <v>8</v>
      </c>
      <c r="C2" s="2" t="s">
        <v>12</v>
      </c>
      <c r="D2" s="9" t="s">
        <v>9</v>
      </c>
      <c r="E2" s="9" t="s">
        <v>19</v>
      </c>
      <c r="F2" s="4" t="s">
        <v>13</v>
      </c>
      <c r="G2" s="4" t="s">
        <v>14</v>
      </c>
      <c r="H2" s="2" t="s">
        <v>15</v>
      </c>
      <c r="I2" s="9" t="s">
        <v>16</v>
      </c>
      <c r="J2" s="9" t="s">
        <v>17</v>
      </c>
      <c r="K2" s="9" t="s">
        <v>18</v>
      </c>
      <c r="L2" s="4" t="s">
        <v>21</v>
      </c>
      <c r="M2" s="4" t="s">
        <v>20</v>
      </c>
    </row>
    <row r="3" spans="1:13" x14ac:dyDescent="0.2">
      <c r="A3" s="2">
        <v>2008</v>
      </c>
      <c r="B3" s="5">
        <f>37037+148671</f>
        <v>185708</v>
      </c>
      <c r="C3" s="7">
        <f>180670+538860</f>
        <v>719530</v>
      </c>
      <c r="D3" s="8">
        <f>B3/C3</f>
        <v>0.25809625727905716</v>
      </c>
      <c r="E3" s="8">
        <f>(C3-B3)/C3</f>
        <v>0.74190374272094284</v>
      </c>
      <c r="F3" s="5">
        <f>SQRT(SUMSQ(5146,7855))</f>
        <v>9390.5452983306568</v>
      </c>
      <c r="G3" s="5">
        <f>SQRT(SUMSQ(5756,8282))</f>
        <v>10085.785046291638</v>
      </c>
      <c r="H3" s="10">
        <f>(SQRT(F3^2-(D3^2*G3^2)))/C3</f>
        <v>1.2539488421275119E-2</v>
      </c>
      <c r="I3" s="10">
        <f>D3-H3</f>
        <v>0.24555676885778205</v>
      </c>
      <c r="J3" s="10">
        <f>D3+H3</f>
        <v>0.27063574570033228</v>
      </c>
      <c r="K3" s="11">
        <f>(H3/1.645)/D3</f>
        <v>2.9534675915905261E-2</v>
      </c>
    </row>
    <row r="4" spans="1:13" x14ac:dyDescent="0.2">
      <c r="A4" s="2">
        <v>2009</v>
      </c>
      <c r="B4" s="5">
        <f>26838+159796</f>
        <v>186634</v>
      </c>
      <c r="C4" s="7">
        <f>175379+559000</f>
        <v>734379</v>
      </c>
      <c r="D4" s="8">
        <f>B4/C4</f>
        <v>0.25413853064970537</v>
      </c>
      <c r="E4" s="8">
        <f t="shared" ref="E4:E84" si="0">(C4-B4)/C4</f>
        <v>0.74586146935029463</v>
      </c>
      <c r="F4" s="5">
        <f>SQRT(SUMSQ(4001,8207))</f>
        <v>9130.3258430353944</v>
      </c>
      <c r="G4" s="5">
        <f>SQRT(SUMSQ(3466,4892))</f>
        <v>5995.3999032591646</v>
      </c>
      <c r="H4" s="10">
        <f>(SQRT(F4^2-(D4^2*G4^2)))/C4</f>
        <v>1.2258376614321446E-2</v>
      </c>
      <c r="I4" s="10">
        <f>D4-H4</f>
        <v>0.24188015403538393</v>
      </c>
      <c r="J4" s="10">
        <f>D4+H4</f>
        <v>0.26639690726402682</v>
      </c>
      <c r="K4" s="11">
        <f>(H4/1.645)/D4</f>
        <v>2.9322199425440388E-2</v>
      </c>
      <c r="L4" s="21"/>
    </row>
    <row r="5" spans="1:13" x14ac:dyDescent="0.2">
      <c r="A5" s="2">
        <v>2010</v>
      </c>
      <c r="B5" s="5">
        <f>22931+150293</f>
        <v>173224</v>
      </c>
      <c r="C5" s="7">
        <f>178506+557088</f>
        <v>735594</v>
      </c>
      <c r="D5" s="8">
        <f>B5/C5</f>
        <v>0.23548859833005706</v>
      </c>
      <c r="E5" s="8">
        <f t="shared" si="0"/>
        <v>0.76451140166994291</v>
      </c>
      <c r="F5" s="5">
        <f>SQRT(SUMSQ(3187,7758))</f>
        <v>8387.1051620925791</v>
      </c>
      <c r="G5" s="5">
        <f>SQRT(SUMSQ(4324,4813))</f>
        <v>6470.080756837584</v>
      </c>
      <c r="H5" s="10">
        <f>(SQRT(F5^2-(D5^2*G5^2)))/C5</f>
        <v>1.1212095495050837E-2</v>
      </c>
      <c r="I5" s="10">
        <f>D5-H5</f>
        <v>0.22427650283500622</v>
      </c>
      <c r="J5" s="10">
        <f>D5+H5</f>
        <v>0.2467006938251079</v>
      </c>
      <c r="K5" s="11">
        <f>(H5/1.645)/D5</f>
        <v>2.894349693004776E-2</v>
      </c>
      <c r="L5" s="21"/>
    </row>
    <row r="6" spans="1:13" x14ac:dyDescent="0.2">
      <c r="A6" s="2">
        <v>2011</v>
      </c>
      <c r="B6" s="5">
        <f>20056+150640</f>
        <v>170696</v>
      </c>
      <c r="C6" s="7">
        <f>180111+579373</f>
        <v>759484</v>
      </c>
      <c r="D6" s="8">
        <f>B6/C6</f>
        <v>0.22475259518304533</v>
      </c>
      <c r="E6" s="8">
        <f t="shared" si="0"/>
        <v>0.77524740481695464</v>
      </c>
      <c r="F6" s="5">
        <f>SQRT(SUMSQ(4421,7884))</f>
        <v>9038.9544196217739</v>
      </c>
      <c r="G6" s="5">
        <f>SQRT(SUMSQ(5703,5890))</f>
        <v>8198.5552995634534</v>
      </c>
      <c r="H6" s="10">
        <f>(SQRT(F6^2-(D6^2*G6^2)))/C6</f>
        <v>1.1651521373950431E-2</v>
      </c>
      <c r="I6" s="10">
        <f>D6-H6</f>
        <v>0.2131010738090949</v>
      </c>
      <c r="J6" s="10">
        <f>D6+H6</f>
        <v>0.23640411655699575</v>
      </c>
      <c r="K6" s="11">
        <f>(H6/1.645)/D6</f>
        <v>3.1514615930991093E-2</v>
      </c>
      <c r="L6" s="21"/>
    </row>
    <row r="7" spans="1:13" x14ac:dyDescent="0.2">
      <c r="A7" s="2">
        <v>2012</v>
      </c>
      <c r="B7" s="5">
        <f>18935+150445</f>
        <v>169380</v>
      </c>
      <c r="C7" s="7">
        <f>182330+596203</f>
        <v>778533</v>
      </c>
      <c r="D7" s="8">
        <f t="shared" ref="D7:D13" si="1">B7/C7</f>
        <v>0.2175630320102038</v>
      </c>
      <c r="E7" s="8">
        <f t="shared" si="0"/>
        <v>0.78243696798979623</v>
      </c>
      <c r="F7" s="5">
        <f>SQRT(SUMSQ(2810,6992))</f>
        <v>7535.5267898137026</v>
      </c>
      <c r="G7" s="5">
        <f>SQRT(SUMSQ(4318,4676))</f>
        <v>6364.7545121552021</v>
      </c>
      <c r="H7" s="10">
        <f t="shared" ref="H7:H12" si="2">(SQRT(F7^2-(D7^2*G7^2)))/C7</f>
        <v>9.5143096990082075E-3</v>
      </c>
      <c r="I7" s="10">
        <f t="shared" ref="I7:I12" si="3">D7-H7</f>
        <v>0.20804872231119559</v>
      </c>
      <c r="J7" s="10">
        <f t="shared" ref="J7:J12" si="4">D7+H7</f>
        <v>0.22707734170921201</v>
      </c>
      <c r="K7" s="11">
        <f>(H7/1.645)/D7</f>
        <v>2.658436426250415E-2</v>
      </c>
      <c r="L7" s="21">
        <f t="shared" ref="L7:L11" si="5">((C9-C5)/C5)</f>
        <v>0.13733934752050725</v>
      </c>
      <c r="M7" s="21">
        <f t="shared" ref="M7:M11" si="6">((D9-D5)/D5)</f>
        <v>-0.21177363720823172</v>
      </c>
    </row>
    <row r="8" spans="1:13" x14ac:dyDescent="0.2">
      <c r="A8" s="2">
        <v>2013</v>
      </c>
      <c r="B8" s="5">
        <f>13947+148255</f>
        <v>162202</v>
      </c>
      <c r="C8" s="7">
        <f>193175+622397</f>
        <v>815572</v>
      </c>
      <c r="D8" s="8">
        <f t="shared" si="1"/>
        <v>0.19888127596337293</v>
      </c>
      <c r="E8" s="8">
        <f t="shared" si="0"/>
        <v>0.80111872403662709</v>
      </c>
      <c r="F8" s="5">
        <f>SQRT(SUMSQ(2842,7764))</f>
        <v>8267.808657679494</v>
      </c>
      <c r="G8" s="5">
        <f>SQRT(SUMSQ(4214,4580))</f>
        <v>6223.6802617101084</v>
      </c>
      <c r="H8" s="10">
        <f t="shared" si="2"/>
        <v>1.0023186270683493E-2</v>
      </c>
      <c r="I8" s="10">
        <f t="shared" si="3"/>
        <v>0.18885808969268944</v>
      </c>
      <c r="J8" s="10">
        <f t="shared" si="4"/>
        <v>0.20890446223405643</v>
      </c>
      <c r="K8" s="11">
        <f t="shared" ref="K8:K13" si="7">(H8/1.645)/D8</f>
        <v>3.0636983413769057E-2</v>
      </c>
      <c r="L8" s="21">
        <f t="shared" si="5"/>
        <v>0.12442526768174181</v>
      </c>
      <c r="M8" s="21">
        <f t="shared" si="6"/>
        <v>-0.24226910574524302</v>
      </c>
    </row>
    <row r="9" spans="1:13" x14ac:dyDescent="0.2">
      <c r="A9" s="2">
        <v>2014</v>
      </c>
      <c r="B9" s="12">
        <v>155292</v>
      </c>
      <c r="C9" s="12">
        <v>836620</v>
      </c>
      <c r="D9" s="10">
        <f t="shared" si="1"/>
        <v>0.18561832134063255</v>
      </c>
      <c r="E9" s="8">
        <f t="shared" si="0"/>
        <v>0.8143816786593675</v>
      </c>
      <c r="F9" s="5">
        <f>SQRT(SUMSQ(3237, 6876))</f>
        <v>7599.8384851258515</v>
      </c>
      <c r="G9" s="5">
        <f>SQRT(SUMSQ(5238,4566))</f>
        <v>6948.7408931402815</v>
      </c>
      <c r="H9" s="10">
        <f t="shared" si="2"/>
        <v>8.9521979243691284E-3</v>
      </c>
      <c r="I9" s="10">
        <f t="shared" si="3"/>
        <v>0.17666612341626342</v>
      </c>
      <c r="J9" s="10">
        <f t="shared" si="4"/>
        <v>0.19457051926500168</v>
      </c>
      <c r="K9" s="11">
        <f t="shared" si="7"/>
        <v>2.9318580020623958E-2</v>
      </c>
      <c r="L9" s="21">
        <f t="shared" si="5"/>
        <v>0.11050655527768251</v>
      </c>
      <c r="M9" s="21">
        <f t="shared" si="6"/>
        <v>-0.35277217899369295</v>
      </c>
    </row>
    <row r="10" spans="1:13" x14ac:dyDescent="0.2">
      <c r="A10" s="2">
        <v>2015</v>
      </c>
      <c r="B10" s="12">
        <v>145435</v>
      </c>
      <c r="C10" s="12">
        <v>853983</v>
      </c>
      <c r="D10" s="10">
        <f t="shared" si="1"/>
        <v>0.17030198493412632</v>
      </c>
      <c r="E10" s="8">
        <f t="shared" si="0"/>
        <v>0.82969801506587371</v>
      </c>
      <c r="F10" s="5">
        <f>SQRT(SUMSQ(3280, 8636))</f>
        <v>9237.905390292759</v>
      </c>
      <c r="G10" s="5">
        <f>SQRT(SUMSQ(5601,5140))</f>
        <v>7602.0261115047479</v>
      </c>
      <c r="H10" s="10">
        <f t="shared" si="2"/>
        <v>1.0710678412368915E-2</v>
      </c>
      <c r="I10" s="10">
        <f t="shared" si="3"/>
        <v>0.1595913065217574</v>
      </c>
      <c r="J10" s="10">
        <f t="shared" si="4"/>
        <v>0.18101266334649524</v>
      </c>
      <c r="K10" s="11">
        <f t="shared" si="7"/>
        <v>3.8232382958576498E-2</v>
      </c>
      <c r="L10" s="21">
        <f t="shared" si="5"/>
        <v>5.3236256271671903E-2</v>
      </c>
      <c r="M10" s="21">
        <f t="shared" si="6"/>
        <v>-0.32012396916166852</v>
      </c>
    </row>
    <row r="11" spans="1:13" x14ac:dyDescent="0.2">
      <c r="A11" s="2">
        <v>2016</v>
      </c>
      <c r="B11" s="12">
        <v>121742</v>
      </c>
      <c r="C11" s="12">
        <v>864566</v>
      </c>
      <c r="D11" s="10">
        <f t="shared" si="1"/>
        <v>0.14081284713948963</v>
      </c>
      <c r="E11" s="8">
        <f t="shared" si="0"/>
        <v>0.85918715286051039</v>
      </c>
      <c r="F11" s="5">
        <f>SQRT(SUMSQ(3516, 7284))</f>
        <v>8088.195843326248</v>
      </c>
      <c r="G11" s="5">
        <f>SQRT(SUMSQ(4913,5240))</f>
        <v>7182.9777251499254</v>
      </c>
      <c r="H11" s="10">
        <f t="shared" si="2"/>
        <v>9.2817711001986544E-3</v>
      </c>
      <c r="I11" s="10">
        <f t="shared" si="3"/>
        <v>0.13153107603929098</v>
      </c>
      <c r="J11" s="10">
        <f t="shared" si="4"/>
        <v>0.15009461823968828</v>
      </c>
      <c r="K11" s="11">
        <f t="shared" si="7"/>
        <v>4.0070307200624683E-2</v>
      </c>
      <c r="L11" s="21">
        <f t="shared" si="5"/>
        <v>4.1442949009108075E-2</v>
      </c>
      <c r="M11" s="21">
        <f t="shared" si="6"/>
        <v>-0.25968181865172341</v>
      </c>
    </row>
    <row r="12" spans="1:13" x14ac:dyDescent="0.2">
      <c r="A12" s="2">
        <v>2017</v>
      </c>
      <c r="B12" s="5">
        <v>116148</v>
      </c>
      <c r="C12" s="12">
        <v>858990</v>
      </c>
      <c r="D12" s="11">
        <f t="shared" si="1"/>
        <v>0.13521461251004085</v>
      </c>
      <c r="E12" s="8">
        <f>(C12-B12)/C12</f>
        <v>0.86478538748995915</v>
      </c>
      <c r="F12" s="5">
        <v>7656.0235762437405</v>
      </c>
      <c r="G12" s="5">
        <v>6509.3164003603324</v>
      </c>
      <c r="H12" s="10">
        <f t="shared" si="2"/>
        <v>8.8537270066936947E-3</v>
      </c>
      <c r="I12" s="10">
        <f t="shared" si="3"/>
        <v>0.12636088550334715</v>
      </c>
      <c r="J12" s="10">
        <f t="shared" si="4"/>
        <v>0.14406833951673456</v>
      </c>
      <c r="K12" s="11">
        <f t="shared" si="7"/>
        <v>3.9804905456437445E-2</v>
      </c>
      <c r="L12" s="21">
        <f>((C14-C10)/C10)</f>
        <v>3.3217288868747974E-2</v>
      </c>
      <c r="M12" s="21">
        <f>((D14-D10)/D10)</f>
        <v>-0.11851624168573839</v>
      </c>
    </row>
    <row r="13" spans="1:13" x14ac:dyDescent="0.2">
      <c r="A13" s="2">
        <v>2018</v>
      </c>
      <c r="B13" s="5">
        <v>119730</v>
      </c>
      <c r="C13" s="12">
        <v>871292</v>
      </c>
      <c r="D13" s="11">
        <f t="shared" si="1"/>
        <v>0.13741661807981709</v>
      </c>
      <c r="E13" s="8">
        <f>(C13-B13)/C13</f>
        <v>0.86258338192018291</v>
      </c>
      <c r="F13" s="5">
        <v>7554.4536533094169</v>
      </c>
      <c r="G13" s="5">
        <v>7209.3964379828631</v>
      </c>
      <c r="H13" s="10">
        <f>(SQRT(F13^2-(D13^2*G13^2)))/C13</f>
        <v>8.5955252057077561E-3</v>
      </c>
      <c r="I13" s="10">
        <f>D13-H13</f>
        <v>0.12882109287410934</v>
      </c>
      <c r="J13" s="10">
        <f>D13+H13</f>
        <v>0.14601214328552484</v>
      </c>
      <c r="K13" s="11">
        <f t="shared" si="7"/>
        <v>3.8024828140578323E-2</v>
      </c>
      <c r="L13" s="21"/>
      <c r="M13" s="21"/>
    </row>
    <row r="14" spans="1:13" x14ac:dyDescent="0.2">
      <c r="A14" s="2">
        <v>2019</v>
      </c>
      <c r="B14" s="5">
        <v>132457</v>
      </c>
      <c r="C14" s="12">
        <v>882350</v>
      </c>
      <c r="D14" s="11">
        <f t="shared" ref="D14" si="8">B14/C14</f>
        <v>0.15011843372811243</v>
      </c>
      <c r="E14" s="8">
        <f>(C14-B14)/C14</f>
        <v>0.8498815662718876</v>
      </c>
      <c r="F14" s="5">
        <v>9078.9013652533977</v>
      </c>
      <c r="G14" s="5">
        <v>7537.4670811884807</v>
      </c>
      <c r="H14" s="10">
        <f>(SQRT(F14^2-(D14^2*G14^2)))/C14</f>
        <v>1.0209230592796067E-2</v>
      </c>
      <c r="I14" s="10">
        <f>D14-H14</f>
        <v>0.13990920313531635</v>
      </c>
      <c r="J14" s="10">
        <f>D14+H14</f>
        <v>0.1603276643209085</v>
      </c>
      <c r="K14" s="11">
        <f t="shared" ref="K14" si="9">(H14/1.645)/D14</f>
        <v>4.1342152667190567E-2</v>
      </c>
      <c r="L14" s="21"/>
      <c r="M14" s="21"/>
    </row>
    <row r="15" spans="1:13" x14ac:dyDescent="0.2">
      <c r="A15" s="2">
        <v>2020</v>
      </c>
      <c r="B15" s="5"/>
      <c r="C15" s="12"/>
      <c r="D15" s="11" t="e">
        <f t="shared" ref="D15:D18" si="10">B15/C15</f>
        <v>#DIV/0!</v>
      </c>
      <c r="E15" s="8" t="e">
        <f t="shared" ref="E15:E18" si="11">(C15-B15)/C15</f>
        <v>#DIV/0!</v>
      </c>
      <c r="F15" s="5"/>
      <c r="G15" s="5"/>
      <c r="H15" s="10" t="e">
        <f t="shared" ref="H15:H18" si="12">(SQRT(F15^2-(D15^2*G15^2)))/C15</f>
        <v>#DIV/0!</v>
      </c>
      <c r="I15" s="10" t="e">
        <f t="shared" ref="I15:I18" si="13">D15-H15</f>
        <v>#DIV/0!</v>
      </c>
      <c r="J15" s="10" t="e">
        <f t="shared" ref="J15:J18" si="14">D15+H15</f>
        <v>#DIV/0!</v>
      </c>
      <c r="K15" s="11" t="e">
        <f t="shared" ref="K15:K18" si="15">(H15/1.645)/D15</f>
        <v>#DIV/0!</v>
      </c>
      <c r="L15" s="21"/>
      <c r="M15" s="21"/>
    </row>
    <row r="16" spans="1:13" x14ac:dyDescent="0.2">
      <c r="A16" s="2">
        <v>2021</v>
      </c>
      <c r="B16" s="5"/>
      <c r="C16" s="12"/>
      <c r="D16" s="11" t="e">
        <f t="shared" si="10"/>
        <v>#DIV/0!</v>
      </c>
      <c r="E16" s="8" t="e">
        <f t="shared" si="11"/>
        <v>#DIV/0!</v>
      </c>
      <c r="F16" s="5"/>
      <c r="G16" s="5"/>
      <c r="H16" s="10" t="e">
        <f t="shared" si="12"/>
        <v>#DIV/0!</v>
      </c>
      <c r="I16" s="10" t="e">
        <f t="shared" si="13"/>
        <v>#DIV/0!</v>
      </c>
      <c r="J16" s="10" t="e">
        <f t="shared" si="14"/>
        <v>#DIV/0!</v>
      </c>
      <c r="K16" s="11" t="e">
        <f t="shared" si="15"/>
        <v>#DIV/0!</v>
      </c>
      <c r="L16" s="21"/>
      <c r="M16" s="21"/>
    </row>
    <row r="17" spans="1:22" x14ac:dyDescent="0.2">
      <c r="A17" s="2">
        <v>2022</v>
      </c>
      <c r="B17" s="5"/>
      <c r="C17" s="12"/>
      <c r="D17" s="11" t="e">
        <f t="shared" si="10"/>
        <v>#DIV/0!</v>
      </c>
      <c r="E17" s="8" t="e">
        <f t="shared" si="11"/>
        <v>#DIV/0!</v>
      </c>
      <c r="F17" s="5"/>
      <c r="G17" s="5"/>
      <c r="H17" s="10" t="e">
        <f t="shared" si="12"/>
        <v>#DIV/0!</v>
      </c>
      <c r="I17" s="10" t="e">
        <f t="shared" si="13"/>
        <v>#DIV/0!</v>
      </c>
      <c r="J17" s="10" t="e">
        <f t="shared" si="14"/>
        <v>#DIV/0!</v>
      </c>
      <c r="K17" s="11" t="e">
        <f t="shared" si="15"/>
        <v>#DIV/0!</v>
      </c>
      <c r="L17" s="21"/>
      <c r="M17" s="21"/>
    </row>
    <row r="18" spans="1:22" x14ac:dyDescent="0.2">
      <c r="A18" s="2">
        <v>2023</v>
      </c>
      <c r="B18" s="5">
        <v>107034</v>
      </c>
      <c r="C18" s="12">
        <v>876390</v>
      </c>
      <c r="D18" s="11">
        <f t="shared" si="10"/>
        <v>0.1221305583130798</v>
      </c>
      <c r="E18" s="8">
        <f t="shared" si="11"/>
        <v>0.87786944168692016</v>
      </c>
      <c r="F18" s="5">
        <v>10549.779381579499</v>
      </c>
      <c r="G18" s="5">
        <v>8514.2122360204303</v>
      </c>
      <c r="H18" s="10">
        <f t="shared" si="12"/>
        <v>1.1979150607201297E-2</v>
      </c>
      <c r="I18" s="10">
        <f t="shared" si="13"/>
        <v>0.1101514077058785</v>
      </c>
      <c r="J18" s="10">
        <f t="shared" si="14"/>
        <v>0.1341097089202811</v>
      </c>
      <c r="K18" s="11">
        <f t="shared" si="15"/>
        <v>5.9626014360491787E-2</v>
      </c>
      <c r="L18" s="21"/>
      <c r="M18" s="21"/>
    </row>
    <row r="19" spans="1:22" x14ac:dyDescent="0.2">
      <c r="D19" s="10"/>
      <c r="E19" s="8"/>
      <c r="I19" s="10"/>
      <c r="J19" s="10"/>
    </row>
    <row r="20" spans="1:22" x14ac:dyDescent="0.2">
      <c r="A20" s="4" t="s">
        <v>2</v>
      </c>
      <c r="E20" s="8"/>
      <c r="Q20" s="10"/>
      <c r="U20" s="10"/>
      <c r="V20" s="10"/>
    </row>
    <row r="21" spans="1:22" x14ac:dyDescent="0.2">
      <c r="A21" s="2" t="s">
        <v>7</v>
      </c>
      <c r="B21" s="2" t="s">
        <v>8</v>
      </c>
      <c r="C21" s="2" t="s">
        <v>12</v>
      </c>
      <c r="D21" s="9" t="s">
        <v>9</v>
      </c>
      <c r="E21" s="9" t="s">
        <v>19</v>
      </c>
      <c r="F21" s="4" t="s">
        <v>13</v>
      </c>
      <c r="G21" s="4" t="s">
        <v>14</v>
      </c>
      <c r="H21" s="2" t="s">
        <v>15</v>
      </c>
      <c r="I21" s="9" t="s">
        <v>16</v>
      </c>
      <c r="J21" s="9" t="s">
        <v>17</v>
      </c>
      <c r="K21" s="9" t="s">
        <v>18</v>
      </c>
    </row>
    <row r="22" spans="1:22" x14ac:dyDescent="0.2">
      <c r="A22" s="2">
        <v>2008</v>
      </c>
      <c r="B22" s="5">
        <f>46075+171408</f>
        <v>217483</v>
      </c>
      <c r="C22" s="7">
        <f>251076+673960</f>
        <v>925036</v>
      </c>
      <c r="D22" s="8">
        <f>B22/C22</f>
        <v>0.23510760662287739</v>
      </c>
      <c r="E22" s="8">
        <f t="shared" si="0"/>
        <v>0.76489239337712267</v>
      </c>
      <c r="F22" s="5">
        <f>SQRT(SUMSQ(5982,7866))</f>
        <v>9882.2203982708252</v>
      </c>
      <c r="G22" s="5">
        <f>SQRT(SUMSQ(2027,4033))</f>
        <v>4513.7365895674502</v>
      </c>
      <c r="H22" s="10">
        <f>(SQRT(F22^2-(D22^2*G22^2)))/C22</f>
        <v>1.062128969126706E-2</v>
      </c>
      <c r="I22" s="10">
        <f>D22-H22</f>
        <v>0.22448631693161034</v>
      </c>
      <c r="J22" s="10">
        <f>D22+H22</f>
        <v>0.24572889631414443</v>
      </c>
      <c r="K22" s="11">
        <f t="shared" ref="K22:K32" si="16">(H22/1.645)/D22</f>
        <v>2.7462790980122768E-2</v>
      </c>
      <c r="N22" s="2"/>
      <c r="O22" s="5"/>
      <c r="P22" s="7"/>
      <c r="Q22" s="8"/>
      <c r="R22" s="6"/>
      <c r="S22" s="6"/>
      <c r="T22" s="10"/>
      <c r="U22" s="10"/>
      <c r="V22" s="10"/>
    </row>
    <row r="23" spans="1:22" x14ac:dyDescent="0.2">
      <c r="A23" s="2">
        <v>2009</v>
      </c>
      <c r="B23" s="5">
        <f>38809+193605</f>
        <v>232414</v>
      </c>
      <c r="C23" s="7">
        <f>246455+706411</f>
        <v>952866</v>
      </c>
      <c r="D23" s="8">
        <f>B23/C23</f>
        <v>0.24391047639437236</v>
      </c>
      <c r="E23" s="8">
        <f t="shared" si="0"/>
        <v>0.75608952360562764</v>
      </c>
      <c r="F23" s="5">
        <f>SQRT(SUMSQ(5017,7892))</f>
        <v>9351.6818273506287</v>
      </c>
      <c r="G23" s="5">
        <f>SQRT(SUMSQ(6,2058))</f>
        <v>2058.0087463370996</v>
      </c>
      <c r="H23" s="10">
        <f>(SQRT(F23^2-(D23^2*G23^2)))/C23</f>
        <v>9.8001187986961284E-3</v>
      </c>
      <c r="I23" s="10">
        <f>D23-H23</f>
        <v>0.23411035759567622</v>
      </c>
      <c r="J23" s="10">
        <f>D23+H23</f>
        <v>0.25371059519306849</v>
      </c>
      <c r="K23" s="11">
        <f t="shared" si="16"/>
        <v>2.442502312582278E-2</v>
      </c>
      <c r="N23" s="2"/>
      <c r="O23" s="5"/>
      <c r="P23" s="7"/>
      <c r="Q23" s="8"/>
      <c r="R23" s="6"/>
      <c r="S23" s="6"/>
      <c r="T23" s="10"/>
      <c r="U23" s="10"/>
      <c r="V23" s="10"/>
    </row>
    <row r="24" spans="1:22" x14ac:dyDescent="0.2">
      <c r="A24" s="2">
        <v>2010</v>
      </c>
      <c r="B24" s="5">
        <f>28491+181330</f>
        <v>209821</v>
      </c>
      <c r="C24" s="7">
        <f>246097+705257</f>
        <v>951354</v>
      </c>
      <c r="D24" s="8">
        <f>B24/C24</f>
        <v>0.22054986892366038</v>
      </c>
      <c r="E24" s="8">
        <f t="shared" si="0"/>
        <v>0.77945013107633965</v>
      </c>
      <c r="F24" s="5">
        <f>SQRT(SUMSQ(3485,8106))</f>
        <v>8823.4041616600571</v>
      </c>
      <c r="G24" s="5">
        <f>SQRT(SUMSQ(796,1812))</f>
        <v>1979.1311224878457</v>
      </c>
      <c r="H24" s="10">
        <f>(SQRT(F24^2-(D24^2*G24^2)))/C24</f>
        <v>9.2632192748069078E-3</v>
      </c>
      <c r="I24" s="10">
        <f>D24-H24</f>
        <v>0.21128664964885346</v>
      </c>
      <c r="J24" s="10">
        <f>D24+H24</f>
        <v>0.2298130881984673</v>
      </c>
      <c r="K24" s="11">
        <f t="shared" si="16"/>
        <v>2.5532258825407689E-2</v>
      </c>
      <c r="N24" s="2"/>
      <c r="O24" s="5"/>
      <c r="P24" s="7"/>
      <c r="Q24" s="8"/>
      <c r="R24" s="6"/>
      <c r="S24" s="6"/>
      <c r="T24" s="10"/>
      <c r="U24" s="10"/>
      <c r="V24" s="10"/>
    </row>
    <row r="25" spans="1:22" x14ac:dyDescent="0.2">
      <c r="A25" s="2">
        <v>2011</v>
      </c>
      <c r="B25" s="7">
        <f>26982+181207</f>
        <v>208189</v>
      </c>
      <c r="C25" s="7">
        <f>253621+724328</f>
        <v>977949</v>
      </c>
      <c r="D25" s="8">
        <f>B25/C25</f>
        <v>0.21288328941488768</v>
      </c>
      <c r="E25" s="8">
        <f t="shared" si="0"/>
        <v>0.78711671058511234</v>
      </c>
      <c r="F25" s="5">
        <f>SQRT(SUMSQ(4964+8552))</f>
        <v>13516</v>
      </c>
      <c r="G25" s="5">
        <f>SQRT(SUMSQ(179,1157))</f>
        <v>1170.7647073601083</v>
      </c>
      <c r="H25" s="10">
        <f>(SQRT(F25^2-(D25^2*G25^2)))/C25</f>
        <v>1.3818411630242328E-2</v>
      </c>
      <c r="I25" s="10">
        <f>D25-H25</f>
        <v>0.19906487778464535</v>
      </c>
      <c r="J25" s="10">
        <f>D25+H25</f>
        <v>0.22670170104513002</v>
      </c>
      <c r="K25" s="11">
        <f t="shared" si="16"/>
        <v>3.9459415787112942E-2</v>
      </c>
      <c r="N25" s="2"/>
      <c r="O25" s="5"/>
      <c r="P25" s="7"/>
      <c r="Q25" s="8"/>
      <c r="R25" s="6"/>
      <c r="S25" s="6"/>
      <c r="T25" s="10"/>
      <c r="U25" s="10"/>
      <c r="V25" s="10"/>
    </row>
    <row r="26" spans="1:22" x14ac:dyDescent="0.2">
      <c r="A26" s="2">
        <v>2012</v>
      </c>
      <c r="B26" s="7">
        <f>25547+181581</f>
        <v>207128</v>
      </c>
      <c r="C26" s="7">
        <f>259894+745114</f>
        <v>1005008</v>
      </c>
      <c r="D26" s="8">
        <f t="shared" ref="D26:D32" si="17">B26/C26</f>
        <v>0.20609587187365672</v>
      </c>
      <c r="E26" s="8">
        <f t="shared" si="0"/>
        <v>0.79390412812634326</v>
      </c>
      <c r="F26" s="5">
        <f>SQRT(SUMSQ(3347,7394))</f>
        <v>8116.2580663751696</v>
      </c>
      <c r="G26" s="5">
        <f>SQRT(SUMSQ(97,999))</f>
        <v>1003.6981617996518</v>
      </c>
      <c r="H26" s="10">
        <f t="shared" ref="H26:H31" si="18">(SQRT(F26^2-(D26^2*G26^2)))/C26</f>
        <v>8.0731910150326075E-3</v>
      </c>
      <c r="I26" s="10">
        <f t="shared" ref="I26:I31" si="19">D26-H26</f>
        <v>0.19802268085862412</v>
      </c>
      <c r="J26" s="10">
        <f t="shared" ref="J26:J31" si="20">D26+H26</f>
        <v>0.21416906288868931</v>
      </c>
      <c r="K26" s="11">
        <f t="shared" si="16"/>
        <v>2.3812776345971495E-2</v>
      </c>
      <c r="M26" s="21">
        <f t="shared" ref="M26:M31" si="21">((D26-D22)/D22)</f>
        <v>-0.12339768655701866</v>
      </c>
      <c r="N26" s="2"/>
      <c r="O26" s="5"/>
      <c r="P26" s="7"/>
      <c r="Q26" s="8"/>
      <c r="R26" s="6"/>
      <c r="S26" s="6"/>
      <c r="T26" s="10"/>
      <c r="U26" s="10"/>
      <c r="V26" s="10"/>
    </row>
    <row r="27" spans="1:22" x14ac:dyDescent="0.2">
      <c r="A27" s="2">
        <v>2013</v>
      </c>
      <c r="B27" s="7">
        <f>23256+177521</f>
        <v>200777</v>
      </c>
      <c r="C27" s="7">
        <f>260904+764429</f>
        <v>1025333</v>
      </c>
      <c r="D27" s="8">
        <f t="shared" si="17"/>
        <v>0.19581638355539127</v>
      </c>
      <c r="E27" s="8">
        <f t="shared" si="0"/>
        <v>0.80418361644460867</v>
      </c>
      <c r="F27" s="5">
        <f>SQRT(SUMSQ(4084,8585))</f>
        <v>9506.907015428309</v>
      </c>
      <c r="G27" s="5">
        <f>SQRT(SUMSQ(242,962))</f>
        <v>991.97177379197637</v>
      </c>
      <c r="H27" s="10">
        <f t="shared" si="18"/>
        <v>9.2700833938002564E-3</v>
      </c>
      <c r="I27" s="10">
        <f t="shared" si="19"/>
        <v>0.18654630016159102</v>
      </c>
      <c r="J27" s="10">
        <f t="shared" si="20"/>
        <v>0.20508646694919153</v>
      </c>
      <c r="K27" s="11">
        <f t="shared" si="16"/>
        <v>2.8778537074697016E-2</v>
      </c>
      <c r="M27" s="21">
        <f t="shared" si="21"/>
        <v>-0.19717928294813802</v>
      </c>
      <c r="Q27" s="10"/>
      <c r="U27" s="10"/>
      <c r="V27" s="10"/>
    </row>
    <row r="28" spans="1:22" x14ac:dyDescent="0.2">
      <c r="A28" s="2">
        <v>2014</v>
      </c>
      <c r="B28" s="5">
        <f>27770+160791</f>
        <v>188561</v>
      </c>
      <c r="C28" s="5">
        <f>264923+783985</f>
        <v>1048908</v>
      </c>
      <c r="D28" s="10">
        <f t="shared" si="17"/>
        <v>0.17976886438086087</v>
      </c>
      <c r="E28" s="8">
        <f t="shared" si="0"/>
        <v>0.82023113561913918</v>
      </c>
      <c r="F28" s="5">
        <f>SQRT(SUMSQ(3595,7812))</f>
        <v>8599.4981830337056</v>
      </c>
      <c r="G28" s="5">
        <f>SQRT(SUMSQ(153,1131))</f>
        <v>1141.3018881961075</v>
      </c>
      <c r="H28" s="10">
        <f t="shared" si="18"/>
        <v>8.1961910013802191E-3</v>
      </c>
      <c r="I28" s="10">
        <f t="shared" si="19"/>
        <v>0.17157267337948065</v>
      </c>
      <c r="J28" s="10">
        <f t="shared" si="20"/>
        <v>0.18796505538224109</v>
      </c>
      <c r="K28" s="11">
        <f t="shared" si="16"/>
        <v>2.7716072792084042E-2</v>
      </c>
      <c r="M28" s="21">
        <f t="shared" si="21"/>
        <v>-0.18490604751578957</v>
      </c>
    </row>
    <row r="29" spans="1:22" x14ac:dyDescent="0.2">
      <c r="A29" s="2">
        <v>2015</v>
      </c>
      <c r="B29" s="5">
        <v>165832</v>
      </c>
      <c r="C29" s="5">
        <v>1068952</v>
      </c>
      <c r="D29" s="10">
        <f t="shared" si="17"/>
        <v>0.15513512299897469</v>
      </c>
      <c r="E29" s="8">
        <f>(C29-B29)/C29</f>
        <v>0.84486487700102531</v>
      </c>
      <c r="F29" s="5">
        <f>SQRT(SUMSQ(3744, 9470))</f>
        <v>10183.24290194435</v>
      </c>
      <c r="G29" s="5">
        <f>SQRT(SUMSQ(106, 1013))</f>
        <v>1018.5308046397026</v>
      </c>
      <c r="H29" s="10">
        <f t="shared" si="18"/>
        <v>9.5252330650131296E-3</v>
      </c>
      <c r="I29" s="10">
        <f t="shared" si="19"/>
        <v>0.14560988993396157</v>
      </c>
      <c r="J29" s="10">
        <f t="shared" si="20"/>
        <v>0.16466035606398782</v>
      </c>
      <c r="K29" s="11">
        <f t="shared" si="16"/>
        <v>3.7324979186875155E-2</v>
      </c>
      <c r="M29" s="21">
        <f t="shared" si="21"/>
        <v>-0.27126678930335268</v>
      </c>
    </row>
    <row r="30" spans="1:22" x14ac:dyDescent="0.2">
      <c r="A30" s="2">
        <v>2016</v>
      </c>
      <c r="B30" s="5">
        <v>153743</v>
      </c>
      <c r="C30" s="5">
        <v>1085098</v>
      </c>
      <c r="D30" s="10">
        <f t="shared" si="17"/>
        <v>0.14168582008261005</v>
      </c>
      <c r="E30" s="8">
        <f>(C30-B30)/C30</f>
        <v>0.8583141799173899</v>
      </c>
      <c r="F30" s="5">
        <f>SQRT(SUMSQ(4303, 8830))</f>
        <v>9822.6630299527224</v>
      </c>
      <c r="G30" s="5">
        <f>SQRT(SUMSQ(360, 1202))</f>
        <v>1254.7525652494201</v>
      </c>
      <c r="H30" s="10">
        <f t="shared" si="18"/>
        <v>9.0508452414388759E-3</v>
      </c>
      <c r="I30" s="10">
        <f t="shared" si="19"/>
        <v>0.13263497484117118</v>
      </c>
      <c r="J30" s="10">
        <f t="shared" si="20"/>
        <v>0.15073666532404892</v>
      </c>
      <c r="K30" s="11">
        <f t="shared" si="16"/>
        <v>3.8832633909404932E-2</v>
      </c>
      <c r="M30" s="21">
        <f t="shared" si="21"/>
        <v>-0.31252470612575911</v>
      </c>
    </row>
    <row r="31" spans="1:22" x14ac:dyDescent="0.2">
      <c r="A31" s="2">
        <v>2017</v>
      </c>
      <c r="B31" s="12">
        <v>143430</v>
      </c>
      <c r="C31" s="5">
        <v>1104831</v>
      </c>
      <c r="D31" s="11">
        <f t="shared" si="17"/>
        <v>0.1298207599171276</v>
      </c>
      <c r="E31" s="8">
        <f>(C31-B31)/C31</f>
        <v>0.8701792400828724</v>
      </c>
      <c r="F31" s="5">
        <v>9369.6576244812695</v>
      </c>
      <c r="G31" s="5">
        <v>2437.204341043237</v>
      </c>
      <c r="H31" s="10">
        <f t="shared" si="18"/>
        <v>8.4757885335774719E-3</v>
      </c>
      <c r="I31" s="10">
        <f t="shared" si="19"/>
        <v>0.12134497138355013</v>
      </c>
      <c r="J31" s="10">
        <f t="shared" si="20"/>
        <v>0.13829654845070508</v>
      </c>
      <c r="K31" s="11">
        <f t="shared" si="16"/>
        <v>3.9688991490255697E-2</v>
      </c>
      <c r="M31" s="21">
        <f t="shared" si="21"/>
        <v>-0.33702809969215497</v>
      </c>
    </row>
    <row r="32" spans="1:22" x14ac:dyDescent="0.2">
      <c r="A32" s="2">
        <v>2018</v>
      </c>
      <c r="B32" s="12">
        <v>150373</v>
      </c>
      <c r="C32" s="5">
        <v>1119546</v>
      </c>
      <c r="D32" s="11">
        <f t="shared" si="17"/>
        <v>0.13431605311438743</v>
      </c>
      <c r="E32" s="8">
        <f>(C32-B32)/C32</f>
        <v>0.86568394688561257</v>
      </c>
      <c r="F32" s="5">
        <v>8717.1248126891005</v>
      </c>
      <c r="G32" s="5">
        <v>2601.4495958984098</v>
      </c>
      <c r="H32" s="10">
        <f>(SQRT(F32^2-(D32^2*G32^2)))/C32</f>
        <v>7.7800456693565175E-3</v>
      </c>
      <c r="I32" s="10">
        <f>D32-H32</f>
        <v>0.12653600744503091</v>
      </c>
      <c r="J32" s="10">
        <f>D32+H32</f>
        <v>0.14209609878374396</v>
      </c>
      <c r="K32" s="11">
        <f t="shared" si="16"/>
        <v>3.5211807788706702E-2</v>
      </c>
      <c r="M32" s="21"/>
    </row>
    <row r="33" spans="1:13" x14ac:dyDescent="0.2">
      <c r="A33" s="2">
        <v>2019</v>
      </c>
      <c r="B33" s="12">
        <v>177906</v>
      </c>
      <c r="C33" s="5">
        <v>1138373</v>
      </c>
      <c r="D33" s="11">
        <f t="shared" ref="D33" si="22">B33/C33</f>
        <v>0.15628093779455415</v>
      </c>
      <c r="E33" s="8">
        <f>(C33-B33)/C33</f>
        <v>0.84371906220544579</v>
      </c>
      <c r="F33" s="5">
        <v>9355.8504690915197</v>
      </c>
      <c r="G33" s="5">
        <v>3679.4483282144347</v>
      </c>
      <c r="H33" s="10">
        <f>(SQRT(F33^2-(D33^2*G33^2)))/C33</f>
        <v>8.203078099543815E-3</v>
      </c>
      <c r="I33" s="10">
        <f>D33-H33</f>
        <v>0.14807785969501033</v>
      </c>
      <c r="J33" s="10">
        <f>D33+H33</f>
        <v>0.16448401589409797</v>
      </c>
      <c r="K33" s="11">
        <f t="shared" ref="K33" si="23">(H33/1.645)/D33</f>
        <v>3.1908393225150766E-2</v>
      </c>
      <c r="M33" s="21"/>
    </row>
    <row r="34" spans="1:13" x14ac:dyDescent="0.2">
      <c r="A34" s="2">
        <v>2020</v>
      </c>
      <c r="B34" s="12"/>
      <c r="C34" s="5"/>
      <c r="D34" s="11" t="e">
        <f t="shared" ref="D34:D37" si="24">B34/C34</f>
        <v>#DIV/0!</v>
      </c>
      <c r="E34" s="8" t="e">
        <f t="shared" ref="E34:E37" si="25">(C34-B34)/C34</f>
        <v>#DIV/0!</v>
      </c>
      <c r="F34" s="5"/>
      <c r="G34" s="5"/>
      <c r="H34" s="10" t="e">
        <f t="shared" ref="H34:H36" si="26">(SQRT(F34^2-(D34^2*G34^2)))/C34</f>
        <v>#DIV/0!</v>
      </c>
      <c r="I34" s="10" t="e">
        <f t="shared" ref="I34:I36" si="27">D34-H34</f>
        <v>#DIV/0!</v>
      </c>
      <c r="J34" s="10" t="e">
        <f t="shared" ref="J34:J36" si="28">D34+H34</f>
        <v>#DIV/0!</v>
      </c>
      <c r="K34" s="11" t="e">
        <f t="shared" ref="K34:K36" si="29">(H34/1.645)/D34</f>
        <v>#DIV/0!</v>
      </c>
      <c r="M34" s="21"/>
    </row>
    <row r="35" spans="1:13" x14ac:dyDescent="0.2">
      <c r="A35" s="2">
        <v>2021</v>
      </c>
      <c r="B35" s="12"/>
      <c r="C35" s="5"/>
      <c r="D35" s="11" t="e">
        <f t="shared" si="24"/>
        <v>#DIV/0!</v>
      </c>
      <c r="E35" s="8" t="e">
        <f t="shared" si="25"/>
        <v>#DIV/0!</v>
      </c>
      <c r="F35" s="5"/>
      <c r="G35" s="5"/>
      <c r="H35" s="10" t="e">
        <f t="shared" si="26"/>
        <v>#DIV/0!</v>
      </c>
      <c r="I35" s="10" t="e">
        <f t="shared" si="27"/>
        <v>#DIV/0!</v>
      </c>
      <c r="J35" s="10" t="e">
        <f t="shared" si="28"/>
        <v>#DIV/0!</v>
      </c>
      <c r="K35" s="11" t="e">
        <f t="shared" si="29"/>
        <v>#DIV/0!</v>
      </c>
      <c r="M35" s="21"/>
    </row>
    <row r="36" spans="1:13" x14ac:dyDescent="0.2">
      <c r="A36" s="2">
        <v>2022</v>
      </c>
      <c r="B36" s="12"/>
      <c r="C36" s="5"/>
      <c r="D36" s="11" t="e">
        <f t="shared" si="24"/>
        <v>#DIV/0!</v>
      </c>
      <c r="E36" s="8" t="e">
        <f t="shared" si="25"/>
        <v>#DIV/0!</v>
      </c>
      <c r="F36" s="5"/>
      <c r="G36" s="5"/>
      <c r="H36" s="10" t="e">
        <f t="shared" si="26"/>
        <v>#DIV/0!</v>
      </c>
      <c r="I36" s="10" t="e">
        <f t="shared" si="27"/>
        <v>#DIV/0!</v>
      </c>
      <c r="J36" s="10" t="e">
        <f t="shared" si="28"/>
        <v>#DIV/0!</v>
      </c>
      <c r="K36" s="11" t="e">
        <f t="shared" si="29"/>
        <v>#DIV/0!</v>
      </c>
      <c r="M36" s="21"/>
    </row>
    <row r="37" spans="1:13" x14ac:dyDescent="0.2">
      <c r="A37" s="2">
        <v>2023</v>
      </c>
      <c r="B37" s="12">
        <v>143533</v>
      </c>
      <c r="C37" s="5">
        <v>1176736</v>
      </c>
      <c r="D37" s="11">
        <f t="shared" si="24"/>
        <v>0.12197553231990862</v>
      </c>
      <c r="E37" s="8">
        <f t="shared" si="25"/>
        <v>0.87802446768009135</v>
      </c>
      <c r="F37" s="5">
        <v>11887.8412674463</v>
      </c>
      <c r="G37" s="5">
        <v>3035.8769737919201</v>
      </c>
      <c r="H37" s="10">
        <f t="shared" ref="H37" si="30">(SQRT(F37^2-(D37^2*G37^2)))/C37</f>
        <v>1.0097483597209755E-2</v>
      </c>
      <c r="I37" s="10">
        <f t="shared" ref="I37" si="31">D37-H37</f>
        <v>0.11187804872269887</v>
      </c>
      <c r="J37" s="10">
        <f t="shared" ref="J37" si="32">D37+H37</f>
        <v>0.13207301591711837</v>
      </c>
      <c r="K37" s="11">
        <f t="shared" ref="K37" si="33">(H37/1.645)/D37</f>
        <v>5.0323927957455487E-2</v>
      </c>
      <c r="M37" s="21"/>
    </row>
    <row r="38" spans="1:13" x14ac:dyDescent="0.2">
      <c r="D38" s="10"/>
      <c r="E38" s="8"/>
      <c r="I38" s="10"/>
      <c r="J38" s="10"/>
    </row>
    <row r="39" spans="1:13" x14ac:dyDescent="0.2">
      <c r="A39" s="4" t="s">
        <v>10</v>
      </c>
      <c r="D39" s="10"/>
      <c r="E39" s="8"/>
      <c r="I39" s="10"/>
      <c r="J39" s="10"/>
    </row>
    <row r="40" spans="1:13" x14ac:dyDescent="0.2">
      <c r="A40" s="2" t="s">
        <v>7</v>
      </c>
      <c r="B40" s="2" t="s">
        <v>8</v>
      </c>
      <c r="C40" s="2" t="s">
        <v>12</v>
      </c>
      <c r="D40" s="9" t="s">
        <v>9</v>
      </c>
      <c r="E40" s="9" t="s">
        <v>19</v>
      </c>
      <c r="F40" s="4" t="s">
        <v>13</v>
      </c>
      <c r="G40" s="4" t="s">
        <v>14</v>
      </c>
      <c r="H40" s="2" t="s">
        <v>15</v>
      </c>
      <c r="I40" s="9" t="s">
        <v>16</v>
      </c>
      <c r="J40" s="9" t="s">
        <v>17</v>
      </c>
      <c r="K40" s="9" t="s">
        <v>18</v>
      </c>
    </row>
    <row r="41" spans="1:13" x14ac:dyDescent="0.2">
      <c r="A41" s="2">
        <v>2008</v>
      </c>
      <c r="B41" s="5">
        <f>70235+262946</f>
        <v>333181</v>
      </c>
      <c r="C41" s="7">
        <f>427057+1083709</f>
        <v>1510766</v>
      </c>
      <c r="D41" s="8">
        <f>B41/C41</f>
        <v>0.22053779341075985</v>
      </c>
      <c r="E41" s="8">
        <f t="shared" si="0"/>
        <v>0.77946220658924015</v>
      </c>
      <c r="F41" s="5">
        <f>SQRT(SUMSQ(7594,10062))</f>
        <v>12606.05727418371</v>
      </c>
      <c r="G41" s="5">
        <f>SQRT(SUMSQ(2984,4961))</f>
        <v>5789.2812161787406</v>
      </c>
      <c r="H41" s="10">
        <f>(SQRT(F41^2-(D41^2*G41^2)))/C41</f>
        <v>8.3012425634267483E-3</v>
      </c>
      <c r="I41" s="10">
        <f>D41-H41</f>
        <v>0.21223655084733312</v>
      </c>
      <c r="J41" s="10">
        <f>D41+H41</f>
        <v>0.22883903597418659</v>
      </c>
      <c r="K41" s="11">
        <f>(H41/1.645)/D41</f>
        <v>2.28820103113773E-2</v>
      </c>
    </row>
    <row r="42" spans="1:13" x14ac:dyDescent="0.2">
      <c r="A42" s="2">
        <v>2009</v>
      </c>
      <c r="B42" s="5">
        <f>59855+285292</f>
        <v>345147</v>
      </c>
      <c r="C42" s="7">
        <f>431443+1131572</f>
        <v>1563015</v>
      </c>
      <c r="D42" s="8">
        <f>B42/C42</f>
        <v>0.22082129730040978</v>
      </c>
      <c r="E42" s="8">
        <f t="shared" si="0"/>
        <v>0.77917870269959022</v>
      </c>
      <c r="F42" s="5">
        <f>SQRT(SUMSQ(6511,9576))</f>
        <v>11579.848746853302</v>
      </c>
      <c r="G42" s="5">
        <f>SQRT(SUMSQ(1712,3245))</f>
        <v>3668.9193231795107</v>
      </c>
      <c r="H42" s="10">
        <f>(SQRT(F42^2-(D42^2*G42^2)))/C42</f>
        <v>7.3905063700098559E-3</v>
      </c>
      <c r="I42" s="10">
        <f>D42-H42</f>
        <v>0.21343079093039993</v>
      </c>
      <c r="J42" s="10">
        <f>D42+H42</f>
        <v>0.22821180367041963</v>
      </c>
      <c r="K42" s="11">
        <f t="shared" ref="K42:K49" si="34">(H42/1.645)/D42</f>
        <v>2.0345451704360275E-2</v>
      </c>
    </row>
    <row r="43" spans="1:13" x14ac:dyDescent="0.2">
      <c r="A43" s="2">
        <v>2010</v>
      </c>
      <c r="B43" s="5">
        <f>47036+281190</f>
        <v>328226</v>
      </c>
      <c r="C43" s="7">
        <f>434514+1139896</f>
        <v>1574410</v>
      </c>
      <c r="D43" s="8">
        <f>B43/C43</f>
        <v>0.20847555592253605</v>
      </c>
      <c r="E43" s="8">
        <f t="shared" si="0"/>
        <v>0.79152444407746392</v>
      </c>
      <c r="F43" s="5">
        <f>SQRT(SUMSQ(5158,9508))</f>
        <v>10816.978690928443</v>
      </c>
      <c r="G43" s="5">
        <f>SQRT(SUMSQ(3799,4145))</f>
        <v>5622.5817913125993</v>
      </c>
      <c r="H43" s="10">
        <f>(SQRT(F43^2-(D43^2*G43^2)))/C43</f>
        <v>6.830038294205077E-3</v>
      </c>
      <c r="I43" s="10">
        <f>D43-H43</f>
        <v>0.20164551762833097</v>
      </c>
      <c r="J43" s="10">
        <f>D43+H43</f>
        <v>0.21530559421674114</v>
      </c>
      <c r="K43" s="11">
        <f t="shared" si="34"/>
        <v>1.9915998998872423E-2</v>
      </c>
    </row>
    <row r="44" spans="1:13" x14ac:dyDescent="0.2">
      <c r="A44" s="2">
        <v>2011</v>
      </c>
      <c r="B44" s="5">
        <f>47728+282706</f>
        <v>330434</v>
      </c>
      <c r="C44" s="7">
        <f>446841+1175850</f>
        <v>1622691</v>
      </c>
      <c r="D44" s="8">
        <f>B44/C44</f>
        <v>0.20363334732244154</v>
      </c>
      <c r="E44" s="8">
        <f t="shared" si="0"/>
        <v>0.79636665267755846</v>
      </c>
      <c r="F44" s="5">
        <f>SQRT(SUMSQ(7407,12929))</f>
        <v>14900.425832841154</v>
      </c>
      <c r="G44" s="5">
        <f>SQRT(SUMSQ(1732,3064))</f>
        <v>3519.6477096436797</v>
      </c>
      <c r="H44" s="10">
        <f>(SQRT(F44^2-(D44^2*G44^2)))/C44</f>
        <v>9.1719117314611048E-3</v>
      </c>
      <c r="I44" s="10">
        <f>D44-H44</f>
        <v>0.19446143559098045</v>
      </c>
      <c r="J44" s="10">
        <f>D44+H44</f>
        <v>0.21280525905390263</v>
      </c>
      <c r="K44" s="11">
        <f t="shared" si="34"/>
        <v>2.7380732602025951E-2</v>
      </c>
    </row>
    <row r="45" spans="1:13" x14ac:dyDescent="0.2">
      <c r="A45" s="2">
        <v>2012</v>
      </c>
      <c r="B45" s="5">
        <f>44048+279180</f>
        <v>323228</v>
      </c>
      <c r="C45" s="7">
        <f>456692+1205528</f>
        <v>1662220</v>
      </c>
      <c r="D45" s="8">
        <f t="shared" ref="D45:D51" si="35">B45/C45</f>
        <v>0.19445560756097269</v>
      </c>
      <c r="E45" s="8">
        <f t="shared" si="0"/>
        <v>0.80554439243902731</v>
      </c>
      <c r="F45" s="5">
        <f>SQRT(SUMSQ(4580,9460))</f>
        <v>10510.375825820882</v>
      </c>
      <c r="G45" s="5">
        <f>SQRT(SUMSQ(1036,2756))</f>
        <v>2944.2880293884291</v>
      </c>
      <c r="H45" s="10">
        <f t="shared" ref="H45:H50" si="36">(SQRT(F45^2-(D45^2*G45^2)))/C45</f>
        <v>6.3137072065831672E-3</v>
      </c>
      <c r="I45" s="10">
        <f t="shared" ref="I45:I50" si="37">D45-H45</f>
        <v>0.18814190035438952</v>
      </c>
      <c r="J45" s="10">
        <f t="shared" ref="J45:J50" si="38">D45+H45</f>
        <v>0.20076931476755586</v>
      </c>
      <c r="K45" s="11">
        <f t="shared" si="34"/>
        <v>1.9737769100939471E-2</v>
      </c>
    </row>
    <row r="46" spans="1:13" x14ac:dyDescent="0.2">
      <c r="A46" s="2">
        <v>2013</v>
      </c>
      <c r="B46" s="5">
        <f>44642+277539</f>
        <v>322181</v>
      </c>
      <c r="C46" s="7">
        <f>461924+1236525</f>
        <v>1698449</v>
      </c>
      <c r="D46" s="8">
        <f t="shared" si="35"/>
        <v>0.18969130071023621</v>
      </c>
      <c r="E46" s="8">
        <f t="shared" si="0"/>
        <v>0.81030869928976379</v>
      </c>
      <c r="F46" s="5">
        <f>SQRT(SUMSQ(5913,12461))</f>
        <v>13792.754982236145</v>
      </c>
      <c r="G46" s="5">
        <f>SQRT(SUMSQ(616,2480))</f>
        <v>2555.3582919035052</v>
      </c>
      <c r="H46" s="10">
        <f t="shared" si="36"/>
        <v>8.1157778344776721E-3</v>
      </c>
      <c r="I46" s="10">
        <f t="shared" si="37"/>
        <v>0.18157552287575854</v>
      </c>
      <c r="J46" s="10">
        <f t="shared" si="38"/>
        <v>0.19780707854471388</v>
      </c>
      <c r="K46" s="11">
        <f t="shared" si="34"/>
        <v>2.6008591476376058E-2</v>
      </c>
    </row>
    <row r="47" spans="1:13" x14ac:dyDescent="0.2">
      <c r="A47" s="2">
        <v>2014</v>
      </c>
      <c r="B47" s="5">
        <f>46178+250955</f>
        <v>297133</v>
      </c>
      <c r="C47" s="5">
        <f>470110+1277560</f>
        <v>1747670</v>
      </c>
      <c r="D47" s="10">
        <f t="shared" si="35"/>
        <v>0.17001665074070046</v>
      </c>
      <c r="E47" s="8">
        <f t="shared" si="0"/>
        <v>0.82998334925929951</v>
      </c>
      <c r="F47" s="5">
        <f>SQRT(SUMSQ(5353, 9840))</f>
        <v>11201.794900818351</v>
      </c>
      <c r="G47" s="5">
        <f>SQRT(SUMSQ(659, 2385))</f>
        <v>2474.3698187619407</v>
      </c>
      <c r="H47" s="10">
        <f t="shared" si="36"/>
        <v>6.4050379682769063E-3</v>
      </c>
      <c r="I47" s="10">
        <f t="shared" si="37"/>
        <v>0.16361161277242356</v>
      </c>
      <c r="J47" s="10">
        <f t="shared" si="38"/>
        <v>0.17642168870897737</v>
      </c>
      <c r="K47" s="11">
        <f t="shared" si="34"/>
        <v>2.2901522205812333E-2</v>
      </c>
    </row>
    <row r="48" spans="1:13" x14ac:dyDescent="0.2">
      <c r="A48" s="2">
        <v>2015</v>
      </c>
      <c r="B48" s="5">
        <v>252858</v>
      </c>
      <c r="C48" s="5">
        <v>1791502</v>
      </c>
      <c r="D48" s="10">
        <f t="shared" si="35"/>
        <v>0.14114301853975045</v>
      </c>
      <c r="E48" s="8">
        <f t="shared" si="0"/>
        <v>0.85885698146024958</v>
      </c>
      <c r="F48" s="5">
        <f>SQRT(SUMSQ(4716, 11175))</f>
        <v>12129.356165930654</v>
      </c>
      <c r="G48" s="5">
        <f>SQRT(SUMSQ(823, 3152))</f>
        <v>3257.6729424544756</v>
      </c>
      <c r="H48" s="10">
        <f t="shared" si="36"/>
        <v>6.7656290980137269E-3</v>
      </c>
      <c r="I48" s="10">
        <f t="shared" si="37"/>
        <v>0.13437738944173672</v>
      </c>
      <c r="J48" s="10">
        <f t="shared" si="38"/>
        <v>0.14790864763776418</v>
      </c>
      <c r="K48" s="11">
        <f t="shared" si="34"/>
        <v>2.9139552767352774E-2</v>
      </c>
    </row>
    <row r="49" spans="1:11" x14ac:dyDescent="0.2">
      <c r="A49" s="2">
        <v>2016</v>
      </c>
      <c r="B49" s="5">
        <v>246026</v>
      </c>
      <c r="C49" s="5">
        <v>1832016</v>
      </c>
      <c r="D49" s="10">
        <f t="shared" si="35"/>
        <v>0.13429249526205012</v>
      </c>
      <c r="E49" s="8">
        <f t="shared" si="0"/>
        <v>0.86570750473794988</v>
      </c>
      <c r="F49" s="5">
        <f>SQRT(SUMSQ(5458, 11236))</f>
        <v>12491.495506943915</v>
      </c>
      <c r="G49" s="5">
        <f>SQRT(SUMSQ(1538, 3475))</f>
        <v>3800.1406552915905</v>
      </c>
      <c r="H49" s="10">
        <f t="shared" si="36"/>
        <v>6.8127497672073488E-3</v>
      </c>
      <c r="I49" s="10">
        <f t="shared" si="37"/>
        <v>0.12747974549484276</v>
      </c>
      <c r="J49" s="10">
        <f t="shared" si="38"/>
        <v>0.14110524502925748</v>
      </c>
      <c r="K49" s="11">
        <f t="shared" si="34"/>
        <v>3.0839319889807624E-2</v>
      </c>
    </row>
    <row r="50" spans="1:11" x14ac:dyDescent="0.2">
      <c r="A50" s="2">
        <v>2017</v>
      </c>
      <c r="B50" s="5">
        <v>243613</v>
      </c>
      <c r="C50" s="5">
        <v>1881992</v>
      </c>
      <c r="D50" s="11">
        <f t="shared" si="35"/>
        <v>0.12944422718056187</v>
      </c>
      <c r="E50" s="8">
        <f>(C50-B50)/C50</f>
        <v>0.87055577281943808</v>
      </c>
      <c r="F50" s="5">
        <v>13468.419729129324</v>
      </c>
      <c r="G50" s="5">
        <v>5181.1196666357746</v>
      </c>
      <c r="H50" s="10">
        <f t="shared" si="36"/>
        <v>7.1475921824028848E-3</v>
      </c>
      <c r="I50" s="10">
        <f t="shared" si="37"/>
        <v>0.12229663499815899</v>
      </c>
      <c r="J50" s="10">
        <f t="shared" si="38"/>
        <v>0.13659181936296474</v>
      </c>
      <c r="K50" s="11">
        <f>(H50/1.645)/D50</f>
        <v>3.3566895449926817E-2</v>
      </c>
    </row>
    <row r="51" spans="1:11" x14ac:dyDescent="0.2">
      <c r="A51" s="2">
        <v>2018</v>
      </c>
      <c r="B51" s="5">
        <v>267210</v>
      </c>
      <c r="C51" s="5">
        <v>1920291</v>
      </c>
      <c r="D51" s="11">
        <f t="shared" si="35"/>
        <v>0.13915078495915462</v>
      </c>
      <c r="E51" s="8">
        <f>(C51-B51)/C51</f>
        <v>0.86084921504084533</v>
      </c>
      <c r="F51" s="5">
        <v>11782.563727814078</v>
      </c>
      <c r="G51" s="5">
        <v>4948.2131118212765</v>
      </c>
      <c r="H51" s="10">
        <f>(SQRT(F51^2-(D51^2*G51^2)))/C51</f>
        <v>6.1253361579715086E-3</v>
      </c>
      <c r="I51" s="10">
        <f>D51-H51</f>
        <v>0.13302544880118311</v>
      </c>
      <c r="J51" s="10">
        <f>D51+H51</f>
        <v>0.14527612111712612</v>
      </c>
      <c r="K51" s="11">
        <f>(H51/1.645)/D51</f>
        <v>2.6759522828150865E-2</v>
      </c>
    </row>
    <row r="52" spans="1:11" x14ac:dyDescent="0.2">
      <c r="A52" s="2">
        <v>2019</v>
      </c>
      <c r="B52" s="5">
        <v>298659</v>
      </c>
      <c r="C52" s="5">
        <v>1966469</v>
      </c>
      <c r="D52" s="11">
        <f t="shared" ref="D52" si="39">B52/C52</f>
        <v>0.15187577327687343</v>
      </c>
      <c r="E52" s="8">
        <f>(C52-B52)/C52</f>
        <v>0.8481242267231266</v>
      </c>
      <c r="F52" s="5">
        <v>11226.381162244581</v>
      </c>
      <c r="G52" s="5">
        <v>5140.9603188509436</v>
      </c>
      <c r="H52" s="10">
        <f>(SQRT(F52^2-(D52^2*G52^2)))/C52</f>
        <v>5.6950791646812717E-3</v>
      </c>
      <c r="I52" s="10">
        <f>D52-H52</f>
        <v>0.14618069411219217</v>
      </c>
      <c r="J52" s="10">
        <f>D52+H52</f>
        <v>0.15757085244155469</v>
      </c>
      <c r="K52" s="11">
        <f>(H52/1.645)/D52</f>
        <v>2.279530256048308E-2</v>
      </c>
    </row>
    <row r="53" spans="1:11" x14ac:dyDescent="0.2">
      <c r="A53" s="2">
        <v>2020</v>
      </c>
      <c r="B53" s="5"/>
      <c r="C53" s="5"/>
      <c r="D53" s="11" t="e">
        <f t="shared" ref="D53:D56" si="40">B53/C53</f>
        <v>#DIV/0!</v>
      </c>
      <c r="E53" s="8" t="e">
        <f t="shared" ref="E53:E56" si="41">(C53-B53)/C53</f>
        <v>#DIV/0!</v>
      </c>
      <c r="F53" s="5"/>
      <c r="G53" s="5"/>
      <c r="H53" s="10" t="e">
        <f t="shared" ref="H53:H56" si="42">(SQRT(F53^2-(D53^2*G53^2)))/C53</f>
        <v>#DIV/0!</v>
      </c>
      <c r="I53" s="10" t="e">
        <f t="shared" ref="I53:I56" si="43">D53-H53</f>
        <v>#DIV/0!</v>
      </c>
      <c r="J53" s="10" t="e">
        <f t="shared" ref="J53:J56" si="44">D53+H53</f>
        <v>#DIV/0!</v>
      </c>
      <c r="K53" s="11" t="e">
        <f t="shared" ref="K53:K56" si="45">(H53/1.645)/D53</f>
        <v>#DIV/0!</v>
      </c>
    </row>
    <row r="54" spans="1:11" x14ac:dyDescent="0.2">
      <c r="A54" s="2">
        <v>2021</v>
      </c>
      <c r="B54" s="5"/>
      <c r="C54" s="5"/>
      <c r="D54" s="11" t="e">
        <f t="shared" si="40"/>
        <v>#DIV/0!</v>
      </c>
      <c r="E54" s="8" t="e">
        <f t="shared" si="41"/>
        <v>#DIV/0!</v>
      </c>
      <c r="F54" s="5"/>
      <c r="G54" s="5"/>
      <c r="H54" s="10" t="e">
        <f t="shared" si="42"/>
        <v>#DIV/0!</v>
      </c>
      <c r="I54" s="10" t="e">
        <f t="shared" si="43"/>
        <v>#DIV/0!</v>
      </c>
      <c r="J54" s="10" t="e">
        <f t="shared" si="44"/>
        <v>#DIV/0!</v>
      </c>
      <c r="K54" s="11" t="e">
        <f t="shared" si="45"/>
        <v>#DIV/0!</v>
      </c>
    </row>
    <row r="55" spans="1:11" x14ac:dyDescent="0.2">
      <c r="A55" s="2">
        <v>2022</v>
      </c>
      <c r="B55" s="5"/>
      <c r="C55" s="5"/>
      <c r="D55" s="11" t="e">
        <f t="shared" si="40"/>
        <v>#DIV/0!</v>
      </c>
      <c r="E55" s="8" t="e">
        <f t="shared" si="41"/>
        <v>#DIV/0!</v>
      </c>
      <c r="F55" s="5"/>
      <c r="G55" s="5"/>
      <c r="H55" s="10" t="e">
        <f t="shared" si="42"/>
        <v>#DIV/0!</v>
      </c>
      <c r="I55" s="10" t="e">
        <f t="shared" si="43"/>
        <v>#DIV/0!</v>
      </c>
      <c r="J55" s="10" t="e">
        <f t="shared" si="44"/>
        <v>#DIV/0!</v>
      </c>
      <c r="K55" s="11" t="e">
        <f t="shared" si="45"/>
        <v>#DIV/0!</v>
      </c>
    </row>
    <row r="56" spans="1:11" x14ac:dyDescent="0.2">
      <c r="A56" s="2">
        <v>2023</v>
      </c>
      <c r="B56" s="5">
        <v>268216</v>
      </c>
      <c r="C56" s="5">
        <v>2154394</v>
      </c>
      <c r="D56" s="11">
        <f t="shared" si="40"/>
        <v>0.12449719039321498</v>
      </c>
      <c r="E56" s="8">
        <f t="shared" si="41"/>
        <v>0.87550280960678506</v>
      </c>
      <c r="F56" s="5">
        <v>14503.1908558082</v>
      </c>
      <c r="G56" s="5">
        <v>4488.85029823896</v>
      </c>
      <c r="H56" s="10">
        <f t="shared" si="42"/>
        <v>6.7269124540523736E-3</v>
      </c>
      <c r="I56" s="10">
        <f t="shared" si="43"/>
        <v>0.11777027793916262</v>
      </c>
      <c r="J56" s="10">
        <f t="shared" si="44"/>
        <v>0.13122410284726735</v>
      </c>
      <c r="K56" s="11">
        <f t="shared" si="45"/>
        <v>3.2846592519805769E-2</v>
      </c>
    </row>
    <row r="57" spans="1:11" x14ac:dyDescent="0.2">
      <c r="D57" s="10"/>
      <c r="E57" s="8"/>
      <c r="I57" s="10"/>
      <c r="J57" s="10"/>
    </row>
    <row r="58" spans="1:11" x14ac:dyDescent="0.2">
      <c r="A58" s="4" t="s">
        <v>1</v>
      </c>
      <c r="D58" s="10"/>
      <c r="E58" s="8"/>
      <c r="I58" s="10"/>
      <c r="J58" s="10"/>
    </row>
    <row r="59" spans="1:11" x14ac:dyDescent="0.2">
      <c r="A59" s="2" t="s">
        <v>7</v>
      </c>
      <c r="B59" s="2" t="s">
        <v>8</v>
      </c>
      <c r="C59" s="2" t="s">
        <v>12</v>
      </c>
      <c r="D59" s="9" t="s">
        <v>9</v>
      </c>
      <c r="E59" s="9" t="s">
        <v>19</v>
      </c>
      <c r="F59" s="4" t="s">
        <v>13</v>
      </c>
      <c r="G59" s="4" t="s">
        <v>14</v>
      </c>
      <c r="H59" s="2" t="s">
        <v>15</v>
      </c>
      <c r="I59" s="9" t="s">
        <v>16</v>
      </c>
      <c r="J59" s="9" t="s">
        <v>17</v>
      </c>
      <c r="K59" s="9" t="s">
        <v>18</v>
      </c>
    </row>
    <row r="60" spans="1:11" x14ac:dyDescent="0.2">
      <c r="A60" s="2">
        <v>2008</v>
      </c>
      <c r="B60" s="5">
        <f>1195974+4486213</f>
        <v>5682187</v>
      </c>
      <c r="C60" s="7">
        <f>6714046+14753527</f>
        <v>21467573</v>
      </c>
      <c r="D60" s="8">
        <f t="shared" ref="D60:D70" si="46">B60/C60</f>
        <v>0.26468697695822441</v>
      </c>
      <c r="E60" s="8">
        <f t="shared" si="0"/>
        <v>0.73531302304177559</v>
      </c>
      <c r="F60" s="5">
        <f>SQRT(SUMSQ(24134,30894))</f>
        <v>39203.178340537648</v>
      </c>
      <c r="G60" s="5">
        <f>SQRT(SUMSQ(4508,9077))</f>
        <v>10134.791216399082</v>
      </c>
      <c r="H60" s="10">
        <f>(SQRT(F60^2-(D60^2*G60^2)))/C60</f>
        <v>1.8218776580338756E-3</v>
      </c>
      <c r="I60" s="10">
        <f>D60-H60</f>
        <v>0.26286509930019053</v>
      </c>
      <c r="J60" s="10">
        <f>D60+H60</f>
        <v>0.26650885461625828</v>
      </c>
      <c r="K60" s="11">
        <f>(H60/1.645)/D60</f>
        <v>4.1842799555395147E-3</v>
      </c>
    </row>
    <row r="61" spans="1:11" x14ac:dyDescent="0.2">
      <c r="A61" s="2">
        <v>2009</v>
      </c>
      <c r="B61" s="5">
        <f>1119685+4618585</f>
        <v>5738270</v>
      </c>
      <c r="C61" s="7">
        <f>6877730+14974882</f>
        <v>21852612</v>
      </c>
      <c r="D61" s="8">
        <f t="shared" si="46"/>
        <v>0.26258966205046791</v>
      </c>
      <c r="E61" s="8">
        <f t="shared" si="0"/>
        <v>0.73741033794953204</v>
      </c>
      <c r="F61" s="5">
        <f>SQRT(SUMSQ(25854,41692))</f>
        <v>49057.641402741734</v>
      </c>
      <c r="G61" s="5">
        <f>SQRT(SUMSQ(4035,8529))</f>
        <v>9435.3095338732801</v>
      </c>
      <c r="H61" s="10">
        <f>(SQRT(F61^2-(D61^2*G61^2)))/C61</f>
        <v>2.2420677462390262E-3</v>
      </c>
      <c r="I61" s="10">
        <f>D61-H61</f>
        <v>0.26034759430422888</v>
      </c>
      <c r="J61" s="10">
        <f>D61+H61</f>
        <v>0.26483172979670694</v>
      </c>
      <c r="K61" s="11">
        <f t="shared" ref="K61:K68" si="47">(H61/1.645)/D61</f>
        <v>5.190452303460354E-3</v>
      </c>
    </row>
    <row r="62" spans="1:11" x14ac:dyDescent="0.2">
      <c r="A62" s="2">
        <v>2010</v>
      </c>
      <c r="B62" s="5">
        <f>996493+4825406</f>
        <v>5821899</v>
      </c>
      <c r="C62" s="7">
        <f>6876022+15366701</f>
        <v>22242723</v>
      </c>
      <c r="D62" s="8">
        <f t="shared" si="46"/>
        <v>0.26174398701094287</v>
      </c>
      <c r="E62" s="8">
        <f t="shared" si="0"/>
        <v>0.73825601298905719</v>
      </c>
      <c r="F62" s="5">
        <f>SQRT(SUMSQ(21286,44552))</f>
        <v>49375.849359783169</v>
      </c>
      <c r="G62" s="5">
        <f>SQRT(SUMSQ(3911,7911))</f>
        <v>8824.9556372822626</v>
      </c>
      <c r="H62" s="10">
        <f>(SQRT(F62^2-(D62^2*G62^2)))/C62</f>
        <v>2.2174348840838308E-3</v>
      </c>
      <c r="I62" s="10">
        <f>D62-H62</f>
        <v>0.25952655212685904</v>
      </c>
      <c r="J62" s="10">
        <f>D62+H62</f>
        <v>0.26396142189502669</v>
      </c>
      <c r="K62" s="11">
        <f t="shared" si="47"/>
        <v>5.1500122213294581E-3</v>
      </c>
    </row>
    <row r="63" spans="1:11" x14ac:dyDescent="0.2">
      <c r="A63" s="2">
        <v>2011</v>
      </c>
      <c r="B63" s="5">
        <f>916522+4824280</f>
        <v>5740802</v>
      </c>
      <c r="C63" s="7">
        <f>6946969+15623903</f>
        <v>22570872</v>
      </c>
      <c r="D63" s="8">
        <f t="shared" si="46"/>
        <v>0.25434560082570135</v>
      </c>
      <c r="E63" s="8">
        <f t="shared" si="0"/>
        <v>0.74565439917429865</v>
      </c>
      <c r="F63" s="5">
        <f>SQRT(SUMSQ(26269,42306))</f>
        <v>49798.172627115542</v>
      </c>
      <c r="G63" s="5">
        <f>SQRT(SUMSQ(4133,7487))</f>
        <v>8552.0090037370755</v>
      </c>
      <c r="H63" s="10">
        <f>(SQRT(F63^2-(D63^2*G63^2)))/C63</f>
        <v>2.2041968393563061E-3</v>
      </c>
      <c r="I63" s="10">
        <f>D63-H63</f>
        <v>0.25214140398634505</v>
      </c>
      <c r="J63" s="10">
        <f>D63+H63</f>
        <v>0.25654979766505764</v>
      </c>
      <c r="K63" s="11">
        <f t="shared" si="47"/>
        <v>5.2681756004922288E-3</v>
      </c>
    </row>
    <row r="64" spans="1:11" x14ac:dyDescent="0.2">
      <c r="A64" s="2">
        <v>2012</v>
      </c>
      <c r="B64" s="5">
        <f>863290+4843493</f>
        <v>5706783</v>
      </c>
      <c r="C64" s="7">
        <f>6971878+15858474</f>
        <v>22830352</v>
      </c>
      <c r="D64" s="8">
        <f t="shared" si="46"/>
        <v>0.24996473992166218</v>
      </c>
      <c r="E64" s="8">
        <f t="shared" si="0"/>
        <v>0.75003526007833787</v>
      </c>
      <c r="F64" s="5">
        <f>SQRT(SUMSQ(24422,40094))</f>
        <v>46946.383460283709</v>
      </c>
      <c r="G64" s="5">
        <f>SQRT(SUMSQ(4231,6769))</f>
        <v>7982.5260412979551</v>
      </c>
      <c r="H64" s="10">
        <f t="shared" ref="H64:H69" si="48">(SQRT(F64^2-(D64^2*G64^2)))/C64</f>
        <v>2.0544562943186945E-3</v>
      </c>
      <c r="I64" s="10">
        <f t="shared" ref="I64:I69" si="49">D64-H64</f>
        <v>0.24791028362734349</v>
      </c>
      <c r="J64" s="10">
        <f t="shared" ref="J64:J69" si="50">D64+H64</f>
        <v>0.2520191962159809</v>
      </c>
      <c r="K64" s="11">
        <f t="shared" si="47"/>
        <v>4.9963430914333889E-3</v>
      </c>
    </row>
    <row r="65" spans="1:11" x14ac:dyDescent="0.2">
      <c r="A65" s="2">
        <v>2013</v>
      </c>
      <c r="B65" s="5">
        <f>888305+4801933</f>
        <v>5690238</v>
      </c>
      <c r="C65" s="7">
        <f>7028782+16065579</f>
        <v>23094361</v>
      </c>
      <c r="D65" s="8">
        <f t="shared" si="46"/>
        <v>0.24639079643727749</v>
      </c>
      <c r="E65" s="8">
        <f t="shared" si="0"/>
        <v>0.75360920356272254</v>
      </c>
      <c r="F65" s="5">
        <f>SQRT(SUMSQ(23568,41791))</f>
        <v>47978.519203910408</v>
      </c>
      <c r="G65" s="5">
        <f>SQRT(SUMSQ(4125,7700))</f>
        <v>8735.3090958477242</v>
      </c>
      <c r="H65" s="10">
        <f t="shared" si="48"/>
        <v>2.0754078963609391E-3</v>
      </c>
      <c r="I65" s="10">
        <f t="shared" si="49"/>
        <v>0.24431538854091656</v>
      </c>
      <c r="J65" s="10">
        <f t="shared" si="50"/>
        <v>0.24846620433363842</v>
      </c>
      <c r="K65" s="11">
        <f t="shared" si="47"/>
        <v>5.1205083787559625E-3</v>
      </c>
    </row>
    <row r="66" spans="1:11" x14ac:dyDescent="0.2">
      <c r="A66" s="2">
        <v>2014</v>
      </c>
      <c r="B66" s="5">
        <f>783938+4204601</f>
        <v>4988539</v>
      </c>
      <c r="C66" s="5">
        <f>7106727+16366994</f>
        <v>23473721</v>
      </c>
      <c r="D66" s="10">
        <f t="shared" si="46"/>
        <v>0.21251590235736378</v>
      </c>
      <c r="E66" s="8">
        <f t="shared" si="0"/>
        <v>0.78748409764263616</v>
      </c>
      <c r="F66" s="5">
        <f>SQRT(SUMSQ(17663, 36266))</f>
        <v>40338.62076224223</v>
      </c>
      <c r="G66" s="5">
        <f>SQRT(SUMSQ(4076, 7637))</f>
        <v>8656.6474457494223</v>
      </c>
      <c r="H66" s="10">
        <f t="shared" si="48"/>
        <v>1.7166706970821446E-3</v>
      </c>
      <c r="I66" s="10">
        <f t="shared" si="49"/>
        <v>0.21079923166028164</v>
      </c>
      <c r="J66" s="10">
        <f t="shared" si="50"/>
        <v>0.21423257305444593</v>
      </c>
      <c r="K66" s="11">
        <f t="shared" si="47"/>
        <v>4.9105445815581482E-3</v>
      </c>
    </row>
    <row r="67" spans="1:11" x14ac:dyDescent="0.2">
      <c r="A67" s="2">
        <v>2015</v>
      </c>
      <c r="B67" s="5">
        <v>4555408</v>
      </c>
      <c r="C67" s="5">
        <v>23855010</v>
      </c>
      <c r="D67" s="10">
        <f t="shared" si="46"/>
        <v>0.19096231776888797</v>
      </c>
      <c r="E67" s="8">
        <f t="shared" si="0"/>
        <v>0.80903768223111205</v>
      </c>
      <c r="F67" s="5">
        <f>SQRT(SUMSQ(22558, 42551))</f>
        <v>48160.678618557693</v>
      </c>
      <c r="G67" s="5">
        <f>SQRT(SUMSQ(4697, 7589))</f>
        <v>8924.949859803135</v>
      </c>
      <c r="H67" s="10">
        <f t="shared" si="48"/>
        <v>2.0176270072936467E-3</v>
      </c>
      <c r="I67" s="10">
        <f t="shared" si="49"/>
        <v>0.18894469076159431</v>
      </c>
      <c r="J67" s="10">
        <f t="shared" si="50"/>
        <v>0.19297994477618163</v>
      </c>
      <c r="K67" s="11">
        <f t="shared" si="47"/>
        <v>6.4228429535642777E-3</v>
      </c>
    </row>
    <row r="68" spans="1:11" x14ac:dyDescent="0.2">
      <c r="A68" s="2">
        <v>2016</v>
      </c>
      <c r="B68" s="5">
        <v>4487295</v>
      </c>
      <c r="C68" s="5">
        <v>24125916</v>
      </c>
      <c r="D68" s="10">
        <f t="shared" si="46"/>
        <v>0.18599480326467191</v>
      </c>
      <c r="E68" s="8">
        <f t="shared" si="0"/>
        <v>0.81400519673532812</v>
      </c>
      <c r="F68" s="5">
        <f>SQRT(SUMSQ(20691,42896))</f>
        <v>47625.458496480642</v>
      </c>
      <c r="G68" s="5">
        <f>SQRT(SUMSQ(3796, 6944))</f>
        <v>7913.8329524952696</v>
      </c>
      <c r="H68" s="10">
        <f t="shared" si="48"/>
        <v>1.9730942858464909E-3</v>
      </c>
      <c r="I68" s="10">
        <f t="shared" si="49"/>
        <v>0.18402170897882542</v>
      </c>
      <c r="J68" s="10">
        <f t="shared" si="50"/>
        <v>0.1879678975505184</v>
      </c>
      <c r="K68" s="11">
        <f t="shared" si="47"/>
        <v>6.448832939604336E-3</v>
      </c>
    </row>
    <row r="69" spans="1:11" x14ac:dyDescent="0.2">
      <c r="A69" s="2">
        <v>2017</v>
      </c>
      <c r="B69" s="5">
        <v>4754647</v>
      </c>
      <c r="C69" s="5">
        <v>24467213</v>
      </c>
      <c r="D69" s="11">
        <f t="shared" si="46"/>
        <v>0.19432728198344454</v>
      </c>
      <c r="E69" s="8">
        <f>(C69-B69)/C69</f>
        <v>0.80567271801655549</v>
      </c>
      <c r="F69" s="5">
        <v>43825.670844837048</v>
      </c>
      <c r="G69" s="5">
        <v>16984.3486775325</v>
      </c>
      <c r="H69" s="10">
        <f t="shared" si="48"/>
        <v>1.7861132177093943E-3</v>
      </c>
      <c r="I69" s="10">
        <f t="shared" si="49"/>
        <v>0.19254116876573515</v>
      </c>
      <c r="J69" s="10">
        <f t="shared" si="50"/>
        <v>0.19611339520115392</v>
      </c>
      <c r="K69" s="11">
        <f>(H69/1.645)/D69</f>
        <v>5.5873941115588827E-3</v>
      </c>
    </row>
    <row r="70" spans="1:11" x14ac:dyDescent="0.2">
      <c r="A70" s="2">
        <v>2018</v>
      </c>
      <c r="B70" s="5">
        <v>4934801</v>
      </c>
      <c r="C70" s="5">
        <v>24728563</v>
      </c>
      <c r="D70" s="11">
        <f t="shared" si="46"/>
        <v>0.19955874508356997</v>
      </c>
      <c r="E70" s="8">
        <f>(C70-B70)/C70</f>
        <v>0.80044125491643003</v>
      </c>
      <c r="F70" s="5">
        <v>52562.61808547972</v>
      </c>
      <c r="G70" s="5">
        <v>14448.591419235301</v>
      </c>
      <c r="H70" s="10">
        <f>(SQRT(F70^2-(D70^2*G70^2)))/C70</f>
        <v>2.1223827304814691E-3</v>
      </c>
      <c r="I70" s="10">
        <f>D70-H70</f>
        <v>0.19743636235308851</v>
      </c>
      <c r="J70" s="10">
        <f>D70+H70</f>
        <v>0.20168112781405143</v>
      </c>
      <c r="K70" s="11">
        <f>(H70/1.645)/D70</f>
        <v>6.465275511877905E-3</v>
      </c>
    </row>
    <row r="71" spans="1:11" x14ac:dyDescent="0.2">
      <c r="A71" s="2">
        <v>2019</v>
      </c>
      <c r="B71" s="5">
        <v>5169072</v>
      </c>
      <c r="C71" s="5">
        <v>24861104</v>
      </c>
      <c r="D71" s="11">
        <f t="shared" ref="D71" si="51">B71/C71</f>
        <v>0.20791803935979675</v>
      </c>
      <c r="E71" s="8">
        <f>(C71-B71)/C71</f>
        <v>0.79208196064020331</v>
      </c>
      <c r="F71" s="5">
        <v>41420.647327148326</v>
      </c>
      <c r="G71" s="5">
        <v>16968.734926328481</v>
      </c>
      <c r="H71" s="10">
        <f>(SQRT(F71^2-(D71^2*G71^2)))/C71</f>
        <v>1.660027495749217E-3</v>
      </c>
      <c r="I71" s="10">
        <f>D71-H71</f>
        <v>0.20625801186404752</v>
      </c>
      <c r="J71" s="10">
        <f>D71+H71</f>
        <v>0.20957806685554597</v>
      </c>
      <c r="K71" s="11">
        <f>(H71/1.645)/D71</f>
        <v>4.8535242967942659E-3</v>
      </c>
    </row>
    <row r="72" spans="1:11" x14ac:dyDescent="0.2">
      <c r="A72" s="2">
        <v>2020</v>
      </c>
      <c r="B72" s="5"/>
      <c r="C72" s="5"/>
      <c r="D72" s="11" t="e">
        <f t="shared" ref="D72:D75" si="52">B72/C72</f>
        <v>#DIV/0!</v>
      </c>
      <c r="E72" s="8" t="e">
        <f t="shared" ref="E72:E75" si="53">(C72-B72)/C72</f>
        <v>#DIV/0!</v>
      </c>
      <c r="F72" s="5"/>
      <c r="G72" s="5"/>
      <c r="H72" s="10" t="e">
        <f t="shared" ref="H72:H75" si="54">(SQRT(F72^2-(D72^2*G72^2)))/C72</f>
        <v>#DIV/0!</v>
      </c>
      <c r="I72" s="10" t="e">
        <f t="shared" ref="I72:I75" si="55">D72-H72</f>
        <v>#DIV/0!</v>
      </c>
      <c r="J72" s="10" t="e">
        <f t="shared" ref="J72:J75" si="56">D72+H72</f>
        <v>#DIV/0!</v>
      </c>
      <c r="K72" s="11" t="e">
        <f t="shared" ref="K72:K75" si="57">(H72/1.645)/D72</f>
        <v>#DIV/0!</v>
      </c>
    </row>
    <row r="73" spans="1:11" x14ac:dyDescent="0.2">
      <c r="A73" s="2">
        <v>2021</v>
      </c>
      <c r="B73" s="5"/>
      <c r="C73" s="5"/>
      <c r="D73" s="11" t="e">
        <f t="shared" si="52"/>
        <v>#DIV/0!</v>
      </c>
      <c r="E73" s="8" t="e">
        <f t="shared" si="53"/>
        <v>#DIV/0!</v>
      </c>
      <c r="F73" s="5"/>
      <c r="G73" s="5"/>
      <c r="H73" s="10" t="e">
        <f t="shared" si="54"/>
        <v>#DIV/0!</v>
      </c>
      <c r="I73" s="10" t="e">
        <f t="shared" si="55"/>
        <v>#DIV/0!</v>
      </c>
      <c r="J73" s="10" t="e">
        <f t="shared" si="56"/>
        <v>#DIV/0!</v>
      </c>
      <c r="K73" s="11" t="e">
        <f t="shared" si="57"/>
        <v>#DIV/0!</v>
      </c>
    </row>
    <row r="74" spans="1:11" x14ac:dyDescent="0.2">
      <c r="A74" s="2">
        <v>2022</v>
      </c>
      <c r="B74" s="5"/>
      <c r="C74" s="5"/>
      <c r="D74" s="11" t="e">
        <f t="shared" si="52"/>
        <v>#DIV/0!</v>
      </c>
      <c r="E74" s="8" t="e">
        <f t="shared" si="53"/>
        <v>#DIV/0!</v>
      </c>
      <c r="F74" s="5"/>
      <c r="G74" s="5"/>
      <c r="H74" s="10" t="e">
        <f t="shared" si="54"/>
        <v>#DIV/0!</v>
      </c>
      <c r="I74" s="10" t="e">
        <f t="shared" si="55"/>
        <v>#DIV/0!</v>
      </c>
      <c r="J74" s="10" t="e">
        <f t="shared" si="56"/>
        <v>#DIV/0!</v>
      </c>
      <c r="K74" s="11" t="e">
        <f t="shared" si="57"/>
        <v>#DIV/0!</v>
      </c>
    </row>
    <row r="75" spans="1:11" x14ac:dyDescent="0.2">
      <c r="A75" s="2">
        <v>2023</v>
      </c>
      <c r="B75" s="5">
        <v>4837228</v>
      </c>
      <c r="C75" s="5">
        <v>25916193</v>
      </c>
      <c r="D75" s="11">
        <f t="shared" si="52"/>
        <v>0.18664886466928224</v>
      </c>
      <c r="E75" s="8">
        <f t="shared" si="53"/>
        <v>0.81335113533071779</v>
      </c>
      <c r="F75" s="5">
        <v>50772.025614505503</v>
      </c>
      <c r="G75" s="5">
        <v>18747.8379820181</v>
      </c>
      <c r="H75" s="10">
        <f t="shared" si="54"/>
        <v>1.9544265470550423E-3</v>
      </c>
      <c r="I75" s="10">
        <f t="shared" si="55"/>
        <v>0.18469443812222719</v>
      </c>
      <c r="J75" s="10">
        <f t="shared" si="56"/>
        <v>0.18860329121633729</v>
      </c>
      <c r="K75" s="11">
        <f t="shared" si="57"/>
        <v>6.3654351528766194E-3</v>
      </c>
    </row>
    <row r="76" spans="1:11" x14ac:dyDescent="0.2">
      <c r="B76" s="5"/>
      <c r="C76" s="5"/>
      <c r="D76" s="10"/>
      <c r="E76" s="8"/>
      <c r="I76" s="10"/>
      <c r="J76" s="10"/>
    </row>
    <row r="77" spans="1:11" x14ac:dyDescent="0.2">
      <c r="A77" s="4" t="s">
        <v>11</v>
      </c>
      <c r="D77" s="10"/>
      <c r="E77" s="8"/>
      <c r="I77" s="10"/>
      <c r="J77" s="10"/>
    </row>
    <row r="78" spans="1:11" x14ac:dyDescent="0.2">
      <c r="A78" s="2" t="s">
        <v>7</v>
      </c>
      <c r="B78" s="2" t="s">
        <v>8</v>
      </c>
      <c r="C78" s="2" t="s">
        <v>12</v>
      </c>
      <c r="D78" s="9" t="s">
        <v>9</v>
      </c>
      <c r="E78" s="9" t="s">
        <v>19</v>
      </c>
      <c r="F78" s="4" t="s">
        <v>13</v>
      </c>
      <c r="G78" s="4" t="s">
        <v>14</v>
      </c>
      <c r="H78" s="2" t="s">
        <v>15</v>
      </c>
      <c r="I78" s="9" t="s">
        <v>16</v>
      </c>
      <c r="J78" s="9" t="s">
        <v>17</v>
      </c>
      <c r="K78" s="9" t="s">
        <v>18</v>
      </c>
    </row>
    <row r="79" spans="1:11" x14ac:dyDescent="0.2">
      <c r="A79" s="2">
        <v>2008</v>
      </c>
      <c r="B79" s="5">
        <f>7329046+37225802</f>
        <v>44554848</v>
      </c>
      <c r="C79" s="7">
        <f>73786055+187579233</f>
        <v>261365288</v>
      </c>
      <c r="D79" s="8">
        <f t="shared" ref="D79:D89" si="58">B79/C79</f>
        <v>0.17046964553303651</v>
      </c>
      <c r="E79" s="8">
        <f t="shared" si="0"/>
        <v>0.82953035446696355</v>
      </c>
      <c r="F79" s="5">
        <f>SQRT(SUMSQ(73710,184899))</f>
        <v>199049.75333066855</v>
      </c>
      <c r="G79" s="5">
        <f>SQRT(SUMSQ(31254,35025))</f>
        <v>46942.125441867247</v>
      </c>
      <c r="H79" s="10">
        <f>(SQRT(F79^2-(D79^2*G79^2)))/C79</f>
        <v>7.6096117142312059E-4</v>
      </c>
      <c r="I79" s="10">
        <f>D79-H79</f>
        <v>0.16970868436161338</v>
      </c>
      <c r="J79" s="10">
        <f>D79+H79</f>
        <v>0.17123060670445964</v>
      </c>
      <c r="K79" s="11">
        <f>(H79/1.645)/D79</f>
        <v>2.7136231574738994E-3</v>
      </c>
    </row>
    <row r="80" spans="1:11" x14ac:dyDescent="0.2">
      <c r="A80" s="2">
        <v>2009</v>
      </c>
      <c r="B80" s="5">
        <f>6369023+38937384</f>
        <v>45306407</v>
      </c>
      <c r="C80" s="7">
        <f>74358353+189181224</f>
        <v>263539577</v>
      </c>
      <c r="D80" s="8">
        <f t="shared" si="58"/>
        <v>0.17191500235275858</v>
      </c>
      <c r="E80" s="8">
        <f t="shared" si="0"/>
        <v>0.82808499764724142</v>
      </c>
      <c r="F80" s="5">
        <f>SQRT(SUMSQ(69040,190683))</f>
        <v>202796.76547962989</v>
      </c>
      <c r="G80" s="5">
        <f>SQRT(SUMSQ(31092,34269))</f>
        <v>46271.771362246334</v>
      </c>
      <c r="H80" s="10">
        <f>(SQRT(F80^2-(D80^2*G80^2)))/C80</f>
        <v>7.6891938529227526E-4</v>
      </c>
      <c r="I80" s="10">
        <f>D80-H80</f>
        <v>0.17114608296746631</v>
      </c>
      <c r="J80" s="10">
        <f>D80+H80</f>
        <v>0.17268392173805086</v>
      </c>
      <c r="K80" s="11">
        <f t="shared" ref="K80:K87" si="59">(H80/1.645)/D80</f>
        <v>2.7189494305269019E-3</v>
      </c>
    </row>
    <row r="81" spans="1:11" x14ac:dyDescent="0.2">
      <c r="A81" s="2">
        <v>2010</v>
      </c>
      <c r="B81" s="5">
        <f>5918388+40902730</f>
        <v>46821118</v>
      </c>
      <c r="C81" s="7">
        <f>74017524+191138060</f>
        <v>265155584</v>
      </c>
      <c r="D81" s="8">
        <f t="shared" si="58"/>
        <v>0.17657979248892605</v>
      </c>
      <c r="E81" s="8">
        <f t="shared" si="0"/>
        <v>0.82342020751107392</v>
      </c>
      <c r="F81" s="5">
        <f>SQRT(SUMSQ(62484,184727))</f>
        <v>195008.49926349364</v>
      </c>
      <c r="G81" s="5">
        <f>SQRT(SUMSQ(32680,27917))</f>
        <v>42980.708335251991</v>
      </c>
      <c r="H81" s="10">
        <f>(SQRT(F81^2-(D81^2*G81^2)))/C81</f>
        <v>7.3489214227199378E-4</v>
      </c>
      <c r="I81" s="10">
        <f>D81-H81</f>
        <v>0.17584490034665406</v>
      </c>
      <c r="J81" s="10">
        <f>D81+H81</f>
        <v>0.17731468463119804</v>
      </c>
      <c r="K81" s="11">
        <f t="shared" si="59"/>
        <v>2.5299777360334604E-3</v>
      </c>
    </row>
    <row r="82" spans="1:11" x14ac:dyDescent="0.2">
      <c r="A82" s="2">
        <v>2011</v>
      </c>
      <c r="B82" s="5">
        <f>5527657+40455941</f>
        <v>45983598</v>
      </c>
      <c r="C82" s="7">
        <f>73744529+192699903</f>
        <v>266444432</v>
      </c>
      <c r="D82" s="8">
        <f t="shared" si="58"/>
        <v>0.17258231915313585</v>
      </c>
      <c r="E82" s="8">
        <f t="shared" si="0"/>
        <v>0.82741768084686418</v>
      </c>
      <c r="F82" s="5">
        <f>SQRT(SUMSQ(60705,189397))</f>
        <v>198887.70860462947</v>
      </c>
      <c r="G82" s="5">
        <f>SQRT(SUMSQ(31544,26214))</f>
        <v>41014.603886908379</v>
      </c>
      <c r="H82" s="10">
        <f>(SQRT(F82^2-(D82^2*G82^2)))/C82</f>
        <v>7.45978091850875E-4</v>
      </c>
      <c r="I82" s="10">
        <f>D82-H82</f>
        <v>0.17183634106128498</v>
      </c>
      <c r="J82" s="10">
        <f>D82+H82</f>
        <v>0.17332829724498672</v>
      </c>
      <c r="K82" s="11">
        <f t="shared" si="59"/>
        <v>2.6276279339097017E-3</v>
      </c>
    </row>
    <row r="83" spans="1:11" x14ac:dyDescent="0.2">
      <c r="A83" s="2">
        <v>2012</v>
      </c>
      <c r="B83" s="5">
        <v>45212230</v>
      </c>
      <c r="C83" s="7">
        <f>73577504+193478987</f>
        <v>267056491</v>
      </c>
      <c r="D83" s="8">
        <f t="shared" si="58"/>
        <v>0.16929837515164534</v>
      </c>
      <c r="E83" s="8">
        <f t="shared" si="0"/>
        <v>0.83070162484835464</v>
      </c>
      <c r="F83" s="5">
        <f>SQRT(SUMSQ(56117,165051))</f>
        <v>174330.00398669185</v>
      </c>
      <c r="G83" s="5">
        <f>SQRT(SUMSQ(31899,25377))</f>
        <v>40761.971615710645</v>
      </c>
      <c r="H83" s="10">
        <f t="shared" ref="H83:H88" si="60">(SQRT(F83^2-(D83^2*G83^2)))/C83</f>
        <v>6.5227159012864805E-4</v>
      </c>
      <c r="I83" s="10">
        <f t="shared" ref="I83:I88" si="61">D83-H83</f>
        <v>0.16864610356151669</v>
      </c>
      <c r="J83" s="10">
        <f t="shared" ref="J83:J88" si="62">D83+H83</f>
        <v>0.16995064674177399</v>
      </c>
      <c r="K83" s="11">
        <f t="shared" si="59"/>
        <v>2.3421233878565635E-3</v>
      </c>
    </row>
    <row r="84" spans="1:11" x14ac:dyDescent="0.2">
      <c r="A84" s="2">
        <v>2013</v>
      </c>
      <c r="B84" s="5">
        <f>5234332+39500682</f>
        <v>44735014</v>
      </c>
      <c r="C84" s="7">
        <f>73446062+194358411</f>
        <v>267804473</v>
      </c>
      <c r="D84" s="8">
        <f t="shared" si="58"/>
        <v>0.16704356540004467</v>
      </c>
      <c r="E84" s="8">
        <f t="shared" si="0"/>
        <v>0.83295643459995528</v>
      </c>
      <c r="F84" s="5">
        <f>SQRT(SUMSQ(53789,167869))</f>
        <v>176276.08369259853</v>
      </c>
      <c r="G84" s="5">
        <f>SQRT(SUMSQ(31668,29471))</f>
        <v>43259.704864920197</v>
      </c>
      <c r="H84" s="10">
        <f t="shared" si="60"/>
        <v>6.5767349968384942E-4</v>
      </c>
      <c r="I84" s="10">
        <f t="shared" si="61"/>
        <v>0.16638589190036082</v>
      </c>
      <c r="J84" s="10">
        <f t="shared" si="62"/>
        <v>0.16770123889972852</v>
      </c>
      <c r="K84" s="11">
        <f t="shared" si="59"/>
        <v>2.3933967082610127E-3</v>
      </c>
    </row>
    <row r="85" spans="1:11" x14ac:dyDescent="0.2">
      <c r="A85" s="2">
        <v>2014</v>
      </c>
      <c r="B85" s="5">
        <f>4396536+31850086</f>
        <v>36246622</v>
      </c>
      <c r="C85" s="5">
        <f>73440273+195537213</f>
        <v>268977486</v>
      </c>
      <c r="D85" s="11">
        <f t="shared" si="58"/>
        <v>0.13475708520823931</v>
      </c>
      <c r="E85" s="8">
        <f t="shared" ref="E85:E94" si="63">(C85-B85)/C85</f>
        <v>0.86524291479176063</v>
      </c>
      <c r="F85" s="5">
        <f>SQRT(SUMSQ(52316,160920))</f>
        <v>169210.5500729786</v>
      </c>
      <c r="G85" s="5">
        <f>SQRT(SUMSQ(33510, 26914))</f>
        <v>42980.036016736885</v>
      </c>
      <c r="H85" s="10">
        <f t="shared" si="60"/>
        <v>6.2871952377710049E-4</v>
      </c>
      <c r="I85" s="10">
        <f t="shared" si="61"/>
        <v>0.13412836568446221</v>
      </c>
      <c r="J85" s="10">
        <f t="shared" si="62"/>
        <v>0.13538580473201642</v>
      </c>
      <c r="K85" s="11">
        <f t="shared" si="59"/>
        <v>2.8362168698953406E-3</v>
      </c>
    </row>
    <row r="86" spans="1:11" x14ac:dyDescent="0.2">
      <c r="A86" s="2">
        <v>2015</v>
      </c>
      <c r="B86" s="5">
        <v>29365543</v>
      </c>
      <c r="C86" s="5">
        <v>270013547</v>
      </c>
      <c r="D86" s="11">
        <f t="shared" si="58"/>
        <v>0.1087558136481204</v>
      </c>
      <c r="E86" s="8">
        <f t="shared" si="63"/>
        <v>0.89124418635187963</v>
      </c>
      <c r="F86" s="5">
        <f>SQRT(SUMSQ(46354,152079))</f>
        <v>158986.52633792587</v>
      </c>
      <c r="G86" s="5">
        <f>SQRT(SUMSQ(34195, 29493))</f>
        <v>45156.783255674891</v>
      </c>
      <c r="H86" s="10">
        <f t="shared" si="60"/>
        <v>5.8852846132274536E-4</v>
      </c>
      <c r="I86" s="10">
        <f t="shared" si="61"/>
        <v>0.10816728518679765</v>
      </c>
      <c r="J86" s="10">
        <f t="shared" si="62"/>
        <v>0.10934434210944315</v>
      </c>
      <c r="K86" s="11">
        <f t="shared" si="59"/>
        <v>3.2896453954354404E-3</v>
      </c>
    </row>
    <row r="87" spans="1:11" x14ac:dyDescent="0.2">
      <c r="A87" s="2">
        <v>2016</v>
      </c>
      <c r="B87" s="5">
        <v>26931512</v>
      </c>
      <c r="C87" s="5">
        <v>270270079</v>
      </c>
      <c r="D87" s="11">
        <f t="shared" si="58"/>
        <v>9.9646664919944769E-2</v>
      </c>
      <c r="E87" s="8">
        <f t="shared" si="63"/>
        <v>0.90035333508005522</v>
      </c>
      <c r="F87" s="5">
        <f>SQRT(SUMSQ(44188,139597))</f>
        <v>146423.70625346157</v>
      </c>
      <c r="G87" s="5">
        <f>SQRT(SUMSQ(33635, 24275))</f>
        <v>41479.981316292804</v>
      </c>
      <c r="H87" s="10">
        <f t="shared" si="60"/>
        <v>5.4155219794835079E-4</v>
      </c>
      <c r="I87" s="10">
        <f t="shared" si="61"/>
        <v>9.9105112721996416E-2</v>
      </c>
      <c r="J87" s="10">
        <f t="shared" si="62"/>
        <v>0.10018821711789312</v>
      </c>
      <c r="K87" s="11">
        <f t="shared" si="59"/>
        <v>3.3037840538573896E-3</v>
      </c>
    </row>
    <row r="88" spans="1:11" x14ac:dyDescent="0.2">
      <c r="A88" s="2">
        <v>2017</v>
      </c>
      <c r="B88" s="5">
        <v>27633466</v>
      </c>
      <c r="C88" s="5">
        <v>271274535</v>
      </c>
      <c r="D88" s="11">
        <f t="shared" si="58"/>
        <v>0.10186531515020383</v>
      </c>
      <c r="E88" s="8">
        <f t="shared" si="63"/>
        <v>0.89813468484979619</v>
      </c>
      <c r="F88" s="5">
        <v>138386.47006842829</v>
      </c>
      <c r="G88" s="5">
        <v>71246.23120558729</v>
      </c>
      <c r="H88" s="10">
        <f t="shared" si="60"/>
        <v>5.0943238325841826E-4</v>
      </c>
      <c r="I88" s="10">
        <f t="shared" si="61"/>
        <v>0.10135588276694542</v>
      </c>
      <c r="J88" s="10">
        <f t="shared" si="62"/>
        <v>0.10237474753346225</v>
      </c>
      <c r="K88" s="11">
        <f>(H88/1.645)/D88</f>
        <v>3.0401451064101474E-3</v>
      </c>
    </row>
    <row r="89" spans="1:11" x14ac:dyDescent="0.2">
      <c r="A89" s="2">
        <v>2018</v>
      </c>
      <c r="B89" s="5">
        <v>28164584</v>
      </c>
      <c r="C89" s="5">
        <v>271112139</v>
      </c>
      <c r="D89" s="11">
        <f t="shared" si="58"/>
        <v>0.10388536678543929</v>
      </c>
      <c r="E89" s="8">
        <f t="shared" si="63"/>
        <v>0.89611463321456075</v>
      </c>
      <c r="F89" s="5">
        <v>158142.58729703393</v>
      </c>
      <c r="G89" s="5">
        <v>71609.606541301429</v>
      </c>
      <c r="H89" s="10">
        <f>(SQRT(F89^2-(D89^2*G89^2)))/C89</f>
        <v>5.8266486107089665E-4</v>
      </c>
      <c r="I89" s="10">
        <f>D89-H89</f>
        <v>0.1033027019243684</v>
      </c>
      <c r="J89" s="10">
        <f>D89+H89</f>
        <v>0.10446803164651018</v>
      </c>
      <c r="K89" s="11">
        <f>(H89/1.645)/D89</f>
        <v>3.4095616535925544E-3</v>
      </c>
    </row>
    <row r="90" spans="1:11" x14ac:dyDescent="0.2">
      <c r="A90" s="2">
        <v>2019</v>
      </c>
      <c r="B90" s="4">
        <v>29227002</v>
      </c>
      <c r="C90" s="4">
        <v>270338261</v>
      </c>
      <c r="D90" s="11">
        <f t="shared" ref="D90:D94" si="64">B90/C90</f>
        <v>0.10811270995044242</v>
      </c>
      <c r="E90" s="8">
        <f t="shared" si="63"/>
        <v>0.89188729004955758</v>
      </c>
      <c r="F90" s="4">
        <v>147528.86627707814</v>
      </c>
      <c r="G90" s="4">
        <v>72317.16369576451</v>
      </c>
      <c r="H90" s="10">
        <f>(SQRT(F90^2-(D90^2*G90^2)))/C90</f>
        <v>5.4495264161057166E-4</v>
      </c>
      <c r="I90" s="10">
        <f>D90-H90</f>
        <v>0.10756775730883185</v>
      </c>
      <c r="J90" s="10">
        <f>D90+H90</f>
        <v>0.10865766259205299</v>
      </c>
      <c r="K90" s="11">
        <f>(H90/1.645)/D90</f>
        <v>3.064192931051563E-3</v>
      </c>
    </row>
    <row r="91" spans="1:11" x14ac:dyDescent="0.2">
      <c r="A91" s="2">
        <v>2020</v>
      </c>
      <c r="D91" s="11" t="e">
        <f t="shared" si="64"/>
        <v>#DIV/0!</v>
      </c>
      <c r="E91" s="8" t="e">
        <f t="shared" si="63"/>
        <v>#DIV/0!</v>
      </c>
      <c r="H91" s="10" t="e">
        <f t="shared" ref="H91:H94" si="65">(SQRT(F91^2-(D91^2*G91^2)))/C91</f>
        <v>#DIV/0!</v>
      </c>
      <c r="I91" s="10" t="e">
        <f t="shared" ref="I91:I94" si="66">D91-H91</f>
        <v>#DIV/0!</v>
      </c>
      <c r="J91" s="10" t="e">
        <f t="shared" ref="J91:J94" si="67">D91+H91</f>
        <v>#DIV/0!</v>
      </c>
      <c r="K91" s="11" t="e">
        <f t="shared" ref="K91:K94" si="68">(H91/1.645)/D91</f>
        <v>#DIV/0!</v>
      </c>
    </row>
    <row r="92" spans="1:11" x14ac:dyDescent="0.2">
      <c r="A92" s="2">
        <v>2021</v>
      </c>
      <c r="D92" s="11" t="e">
        <f t="shared" si="64"/>
        <v>#DIV/0!</v>
      </c>
      <c r="E92" s="8" t="e">
        <f t="shared" si="63"/>
        <v>#DIV/0!</v>
      </c>
      <c r="H92" s="10" t="e">
        <f t="shared" si="65"/>
        <v>#DIV/0!</v>
      </c>
      <c r="I92" s="10" t="e">
        <f t="shared" si="66"/>
        <v>#DIV/0!</v>
      </c>
      <c r="J92" s="10" t="e">
        <f t="shared" si="67"/>
        <v>#DIV/0!</v>
      </c>
      <c r="K92" s="11" t="e">
        <f t="shared" si="68"/>
        <v>#DIV/0!</v>
      </c>
    </row>
    <row r="93" spans="1:11" x14ac:dyDescent="0.2">
      <c r="A93" s="2">
        <v>2022</v>
      </c>
      <c r="D93" s="11" t="e">
        <f t="shared" si="64"/>
        <v>#DIV/0!</v>
      </c>
      <c r="E93" s="8" t="e">
        <f t="shared" si="63"/>
        <v>#DIV/0!</v>
      </c>
      <c r="H93" s="10" t="e">
        <f t="shared" si="65"/>
        <v>#DIV/0!</v>
      </c>
      <c r="I93" s="10" t="e">
        <f t="shared" si="66"/>
        <v>#DIV/0!</v>
      </c>
      <c r="J93" s="10" t="e">
        <f t="shared" si="67"/>
        <v>#DIV/0!</v>
      </c>
      <c r="K93" s="11" t="e">
        <f t="shared" si="68"/>
        <v>#DIV/0!</v>
      </c>
    </row>
    <row r="94" spans="1:11" x14ac:dyDescent="0.2">
      <c r="A94" s="2">
        <v>2023</v>
      </c>
      <c r="B94" s="4">
        <v>25690481</v>
      </c>
      <c r="C94" s="4">
        <v>272096556</v>
      </c>
      <c r="D94" s="11">
        <f t="shared" si="64"/>
        <v>9.4416781225264756E-2</v>
      </c>
      <c r="E94" s="8">
        <f t="shared" si="63"/>
        <v>0.90558321877473524</v>
      </c>
      <c r="F94" s="4">
        <v>161679.89263974701</v>
      </c>
      <c r="G94" s="4">
        <v>70437.263603862404</v>
      </c>
      <c r="H94" s="10">
        <f t="shared" si="65"/>
        <v>5.9369754167610102E-4</v>
      </c>
      <c r="I94" s="10">
        <f t="shared" si="66"/>
        <v>9.3823083683588659E-2</v>
      </c>
      <c r="J94" s="10">
        <f t="shared" si="67"/>
        <v>9.5010478766940853E-2</v>
      </c>
      <c r="K94" s="11">
        <f t="shared" si="68"/>
        <v>3.8225234433743359E-3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 1 Yr Indicator</vt:lpstr>
      <vt:lpstr>Margin of Error</vt:lpstr>
    </vt:vector>
  </TitlesOfParts>
  <Company>Austin Independent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a106159</dc:creator>
  <cp:lastModifiedBy>Carlos Soto</cp:lastModifiedBy>
  <dcterms:created xsi:type="dcterms:W3CDTF">2010-07-29T14:46:07Z</dcterms:created>
  <dcterms:modified xsi:type="dcterms:W3CDTF">2025-11-25T18:38:15Z</dcterms:modified>
</cp:coreProperties>
</file>