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resea\OneDrive\Documents\Dashboards\2025 Dashboard Drilldowns\Disproportionality\For Web\"/>
    </mc:Choice>
  </mc:AlternateContent>
  <xr:revisionPtr revIDLastSave="0" documentId="13_ncr:1_{00FF58AB-7E70-4D1B-93EF-AF22DA677644}" xr6:coauthVersionLast="47" xr6:coauthVersionMax="47" xr10:uidLastSave="{00000000-0000-0000-0000-000000000000}"/>
  <bookViews>
    <workbookView xWindow="20370" yWindow="-120" windowWidth="25440" windowHeight="15270" tabRatio="500" xr2:uid="{00000000-000D-0000-FFFF-FFFF00000000}"/>
  </bookViews>
  <sheets>
    <sheet name="Victims as % Total Pop" sheetId="4" r:id="rId1"/>
    <sheet name="Removals as % Total Pop" sheetId="1" r:id="rId2"/>
    <sheet name="Removals as % Confirmed Victim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41" i="4" s="1"/>
  <c r="K41" i="4"/>
  <c r="K40" i="4"/>
  <c r="K39" i="4"/>
  <c r="J41" i="4"/>
  <c r="J40" i="4"/>
  <c r="J39" i="4"/>
  <c r="I41" i="4"/>
  <c r="I40" i="4"/>
  <c r="I39" i="4"/>
  <c r="I38" i="4"/>
  <c r="H41" i="4"/>
  <c r="H40" i="4"/>
  <c r="H39" i="4"/>
  <c r="E40" i="4"/>
  <c r="E61" i="4" s="1"/>
  <c r="E39" i="4"/>
  <c r="D41" i="4"/>
  <c r="D40" i="4"/>
  <c r="D39" i="4"/>
  <c r="C41" i="4"/>
  <c r="C40" i="4"/>
  <c r="C39" i="4"/>
  <c r="B41" i="4"/>
  <c r="B40" i="4"/>
  <c r="B39" i="4"/>
  <c r="M20" i="4"/>
  <c r="M19" i="4"/>
  <c r="E62" i="4" l="1"/>
  <c r="D62" i="4"/>
  <c r="B62" i="4"/>
  <c r="C62" i="4"/>
  <c r="B61" i="4"/>
  <c r="D61" i="4"/>
  <c r="C61" i="4"/>
  <c r="B82" i="4" s="1"/>
  <c r="M18" i="4"/>
  <c r="D36" i="4"/>
  <c r="C36" i="4"/>
  <c r="B36" i="4"/>
  <c r="D37" i="4"/>
  <c r="C37" i="4"/>
  <c r="B37" i="4"/>
  <c r="D38" i="4"/>
  <c r="C38" i="4"/>
  <c r="B38" i="4"/>
  <c r="K38" i="4"/>
  <c r="J38" i="4"/>
  <c r="H38" i="4"/>
  <c r="H37" i="4"/>
  <c r="I37" i="4"/>
  <c r="J37" i="4"/>
  <c r="K37" i="4"/>
  <c r="E17" i="4"/>
  <c r="E38" i="4" s="1"/>
  <c r="E59" i="4" s="1"/>
  <c r="E15" i="4"/>
  <c r="E36" i="4" s="1"/>
  <c r="E16" i="4"/>
  <c r="E37" i="4" s="1"/>
  <c r="M16" i="4"/>
  <c r="M17" i="4"/>
  <c r="M4" i="4"/>
  <c r="M5" i="4"/>
  <c r="M6" i="4"/>
  <c r="M7" i="4"/>
  <c r="M8" i="4"/>
  <c r="M9" i="4"/>
  <c r="M10" i="4"/>
  <c r="M11" i="4"/>
  <c r="M12" i="4"/>
  <c r="M14" i="4"/>
  <c r="M15" i="4"/>
  <c r="M13" i="4"/>
  <c r="B83" i="4" l="1"/>
  <c r="E60" i="4"/>
  <c r="D60" i="4"/>
  <c r="C60" i="4"/>
  <c r="B60" i="4"/>
  <c r="B81" i="4" s="1"/>
  <c r="C59" i="4"/>
  <c r="D58" i="4"/>
  <c r="B59" i="4"/>
  <c r="D59" i="4"/>
  <c r="B58" i="4"/>
  <c r="E58" i="4"/>
  <c r="C58" i="4"/>
  <c r="B79" i="4" l="1"/>
  <c r="B80" i="4"/>
  <c r="H35" i="4"/>
  <c r="I35" i="4"/>
  <c r="J35" i="4"/>
  <c r="K35" i="4"/>
  <c r="H36" i="4"/>
  <c r="B57" i="4" s="1"/>
  <c r="I36" i="4"/>
  <c r="C57" i="4" s="1"/>
  <c r="J36" i="4"/>
  <c r="D57" i="4" s="1"/>
  <c r="K36" i="4"/>
  <c r="H34" i="4"/>
  <c r="B78" i="4" l="1"/>
  <c r="E57" i="4"/>
  <c r="D35" i="4"/>
  <c r="D56" i="4" s="1"/>
  <c r="C35" i="4"/>
  <c r="C56" i="4" s="1"/>
  <c r="B35" i="4"/>
  <c r="B56" i="4" s="1"/>
  <c r="E7" i="4"/>
  <c r="F7" i="4" s="1"/>
  <c r="C28" i="4" s="1"/>
  <c r="C49" i="4" s="1"/>
  <c r="E8" i="4"/>
  <c r="F8" i="4" s="1"/>
  <c r="B29" i="4" s="1"/>
  <c r="B50" i="4" s="1"/>
  <c r="E13" i="4"/>
  <c r="E34" i="4" s="1"/>
  <c r="E14" i="4"/>
  <c r="E35" i="4" s="1"/>
  <c r="E56" i="4" s="1"/>
  <c r="K26" i="1"/>
  <c r="J26" i="1"/>
  <c r="I26" i="1"/>
  <c r="H26" i="1"/>
  <c r="R13" i="1"/>
  <c r="P13" i="1"/>
  <c r="O13" i="1"/>
  <c r="N13" i="1"/>
  <c r="N12" i="1"/>
  <c r="F13" i="1"/>
  <c r="B26" i="1" s="1"/>
  <c r="B39" i="1" s="1"/>
  <c r="K34" i="4"/>
  <c r="J34" i="4"/>
  <c r="I34" i="4"/>
  <c r="D34" i="4"/>
  <c r="C34" i="4"/>
  <c r="B34" i="4"/>
  <c r="B55" i="4" s="1"/>
  <c r="B33" i="4"/>
  <c r="G13" i="2"/>
  <c r="E37" i="2"/>
  <c r="M25" i="2"/>
  <c r="L25" i="2"/>
  <c r="K25" i="2"/>
  <c r="J25" i="2"/>
  <c r="I25" i="2"/>
  <c r="G12" i="2"/>
  <c r="F25" i="2" s="1"/>
  <c r="F37" i="2" s="1"/>
  <c r="K25" i="1"/>
  <c r="J25" i="1"/>
  <c r="I25" i="1"/>
  <c r="H25" i="1"/>
  <c r="R10" i="1"/>
  <c r="R11" i="1"/>
  <c r="P10" i="1"/>
  <c r="P11" i="1"/>
  <c r="P12" i="1"/>
  <c r="O11" i="1"/>
  <c r="O12" i="1"/>
  <c r="O10" i="1"/>
  <c r="N11" i="1"/>
  <c r="N10" i="1"/>
  <c r="N9" i="1"/>
  <c r="E8" i="1"/>
  <c r="E9" i="1"/>
  <c r="E11" i="1"/>
  <c r="E12" i="1"/>
  <c r="F12" i="1"/>
  <c r="B25" i="1" s="1"/>
  <c r="B38" i="1" s="1"/>
  <c r="B51" i="1" s="1"/>
  <c r="E4" i="1"/>
  <c r="D25" i="1"/>
  <c r="D38" i="1" s="1"/>
  <c r="R12" i="1"/>
  <c r="C25" i="1"/>
  <c r="C38" i="1" s="1"/>
  <c r="E9" i="4"/>
  <c r="F9" i="4" s="1"/>
  <c r="E10" i="4"/>
  <c r="F10" i="4" s="1"/>
  <c r="E11" i="4"/>
  <c r="E32" i="4" s="1"/>
  <c r="K33" i="4"/>
  <c r="J33" i="4"/>
  <c r="I33" i="4"/>
  <c r="H33" i="4"/>
  <c r="K32" i="4"/>
  <c r="J32" i="4"/>
  <c r="I32" i="4"/>
  <c r="H32" i="4"/>
  <c r="D33" i="4"/>
  <c r="C33" i="4"/>
  <c r="N4" i="1"/>
  <c r="E12" i="4"/>
  <c r="E33" i="4" s="1"/>
  <c r="I24" i="2"/>
  <c r="J24" i="2"/>
  <c r="K24" i="2"/>
  <c r="L24" i="2"/>
  <c r="M24" i="2"/>
  <c r="M4" i="2"/>
  <c r="I17" i="2" s="1"/>
  <c r="C32" i="4"/>
  <c r="D32" i="4"/>
  <c r="B32" i="4"/>
  <c r="F6" i="4"/>
  <c r="C27" i="4" s="1"/>
  <c r="C48" i="4" s="1"/>
  <c r="F5" i="4"/>
  <c r="B26" i="4" s="1"/>
  <c r="B47" i="4" s="1"/>
  <c r="F4" i="4"/>
  <c r="D25" i="4" s="1"/>
  <c r="D46" i="4" s="1"/>
  <c r="K24" i="1"/>
  <c r="L4" i="1"/>
  <c r="I17" i="1" s="1"/>
  <c r="L5" i="1"/>
  <c r="J18" i="1" s="1"/>
  <c r="D31" i="1" s="1"/>
  <c r="J22" i="1"/>
  <c r="J24" i="1"/>
  <c r="I24" i="1"/>
  <c r="H24" i="1"/>
  <c r="F11" i="1"/>
  <c r="B24" i="1" s="1"/>
  <c r="B37" i="1" s="1"/>
  <c r="C24" i="1"/>
  <c r="C37" i="1" s="1"/>
  <c r="D24" i="1"/>
  <c r="D37" i="1" s="1"/>
  <c r="G11" i="2"/>
  <c r="F24" i="2" s="1"/>
  <c r="F36" i="2" s="1"/>
  <c r="G9" i="2"/>
  <c r="D22" i="2" s="1"/>
  <c r="D34" i="2" s="1"/>
  <c r="D24" i="2"/>
  <c r="D36" i="2" s="1"/>
  <c r="M5" i="2"/>
  <c r="M6" i="2"/>
  <c r="M7" i="2"/>
  <c r="M8" i="2"/>
  <c r="M9" i="2"/>
  <c r="K22" i="2" s="1"/>
  <c r="M10" i="2"/>
  <c r="M23" i="2" s="1"/>
  <c r="S10" i="2"/>
  <c r="R10" i="2"/>
  <c r="Q10" i="2"/>
  <c r="P10" i="2"/>
  <c r="O10" i="2"/>
  <c r="G10" i="2"/>
  <c r="B23" i="2"/>
  <c r="B35" i="2" s="1"/>
  <c r="B47" i="2" s="1"/>
  <c r="S9" i="2"/>
  <c r="R9" i="2"/>
  <c r="Q9" i="2"/>
  <c r="P9" i="2"/>
  <c r="O9" i="2"/>
  <c r="S8" i="2"/>
  <c r="R8" i="2"/>
  <c r="Q8" i="2"/>
  <c r="P8" i="2"/>
  <c r="O8" i="2"/>
  <c r="G8" i="2"/>
  <c r="F21" i="2"/>
  <c r="S7" i="2"/>
  <c r="R7" i="2"/>
  <c r="Q7" i="2"/>
  <c r="P7" i="2"/>
  <c r="O7" i="2"/>
  <c r="G7" i="2"/>
  <c r="D20" i="2" s="1"/>
  <c r="D32" i="2" s="1"/>
  <c r="S6" i="2"/>
  <c r="R6" i="2"/>
  <c r="Q6" i="2"/>
  <c r="P6" i="2"/>
  <c r="O6" i="2"/>
  <c r="G6" i="2"/>
  <c r="S5" i="2"/>
  <c r="R5" i="2"/>
  <c r="Q5" i="2"/>
  <c r="P5" i="2"/>
  <c r="O5" i="2"/>
  <c r="G5" i="2"/>
  <c r="D18" i="2" s="1"/>
  <c r="D30" i="2" s="1"/>
  <c r="S4" i="2"/>
  <c r="R4" i="2"/>
  <c r="Q4" i="2"/>
  <c r="P4" i="2"/>
  <c r="O4" i="2"/>
  <c r="G4" i="2"/>
  <c r="B17" i="2" s="1"/>
  <c r="B29" i="2" s="1"/>
  <c r="Q11" i="1"/>
  <c r="F10" i="1"/>
  <c r="D23" i="1" s="1"/>
  <c r="D36" i="1" s="1"/>
  <c r="J17" i="1"/>
  <c r="H17" i="1"/>
  <c r="J19" i="1"/>
  <c r="I20" i="1"/>
  <c r="H21" i="1"/>
  <c r="F5" i="1"/>
  <c r="F6" i="1"/>
  <c r="C19" i="1" s="1"/>
  <c r="C32" i="1" s="1"/>
  <c r="F7" i="1"/>
  <c r="E20" i="1" s="1"/>
  <c r="E33" i="1" s="1"/>
  <c r="F8" i="1"/>
  <c r="F9" i="1"/>
  <c r="K20" i="2"/>
  <c r="M20" i="2"/>
  <c r="I20" i="2"/>
  <c r="L20" i="2"/>
  <c r="F32" i="2" s="1"/>
  <c r="J20" i="2"/>
  <c r="C32" i="2" s="1"/>
  <c r="I23" i="2"/>
  <c r="K23" i="2"/>
  <c r="J23" i="2"/>
  <c r="I19" i="2"/>
  <c r="L19" i="2"/>
  <c r="J19" i="2"/>
  <c r="M19" i="2"/>
  <c r="K19" i="2"/>
  <c r="F17" i="2"/>
  <c r="I21" i="2"/>
  <c r="L21" i="2"/>
  <c r="F33" i="2" s="1"/>
  <c r="K21" i="2"/>
  <c r="J21" i="2"/>
  <c r="M21" i="2"/>
  <c r="K18" i="2"/>
  <c r="J18" i="2"/>
  <c r="I18" i="2"/>
  <c r="L18" i="2"/>
  <c r="M18" i="2"/>
  <c r="B22" i="1"/>
  <c r="B18" i="1"/>
  <c r="C21" i="1"/>
  <c r="I22" i="1"/>
  <c r="K18" i="1"/>
  <c r="H20" i="1"/>
  <c r="K19" i="1"/>
  <c r="H22" i="1"/>
  <c r="I19" i="1"/>
  <c r="K22" i="1"/>
  <c r="K20" i="1"/>
  <c r="H19" i="1"/>
  <c r="C20" i="2"/>
  <c r="B20" i="2"/>
  <c r="J23" i="1"/>
  <c r="D17" i="2"/>
  <c r="C21" i="2"/>
  <c r="C33" i="2" s="1"/>
  <c r="J21" i="1"/>
  <c r="D34" i="1" s="1"/>
  <c r="I23" i="1"/>
  <c r="D21" i="2"/>
  <c r="K17" i="1"/>
  <c r="I21" i="1"/>
  <c r="J20" i="1"/>
  <c r="K23" i="1"/>
  <c r="H23" i="1"/>
  <c r="E20" i="2"/>
  <c r="E32" i="2" s="1"/>
  <c r="K21" i="1"/>
  <c r="C17" i="2"/>
  <c r="F20" i="2"/>
  <c r="E22" i="2"/>
  <c r="E34" i="2" s="1"/>
  <c r="F19" i="2"/>
  <c r="B19" i="2"/>
  <c r="E19" i="2"/>
  <c r="D19" i="2"/>
  <c r="F23" i="2"/>
  <c r="E23" i="2"/>
  <c r="D23" i="2"/>
  <c r="D35" i="2" s="1"/>
  <c r="C23" i="2"/>
  <c r="C35" i="2" s="1"/>
  <c r="C19" i="2"/>
  <c r="B22" i="2"/>
  <c r="F22" i="2"/>
  <c r="E17" i="2"/>
  <c r="E29" i="2" s="1"/>
  <c r="C18" i="2"/>
  <c r="C30" i="2" s="1"/>
  <c r="E21" i="2"/>
  <c r="E33" i="2" s="1"/>
  <c r="C22" i="2"/>
  <c r="B21" i="2"/>
  <c r="D21" i="1"/>
  <c r="D19" i="1"/>
  <c r="D32" i="1" s="1"/>
  <c r="D18" i="1"/>
  <c r="D22" i="1"/>
  <c r="B21" i="1"/>
  <c r="B34" i="1"/>
  <c r="B47" i="1" s="1"/>
  <c r="E21" i="1"/>
  <c r="B20" i="1"/>
  <c r="C22" i="1"/>
  <c r="C18" i="1"/>
  <c r="E22" i="1"/>
  <c r="E35" i="1" s="1"/>
  <c r="E18" i="1"/>
  <c r="E31" i="1" s="1"/>
  <c r="R9" i="1"/>
  <c r="Q9" i="1"/>
  <c r="P9" i="1"/>
  <c r="O9" i="1"/>
  <c r="R8" i="1"/>
  <c r="Q8" i="1"/>
  <c r="P8" i="1"/>
  <c r="O8" i="1"/>
  <c r="N8" i="1"/>
  <c r="R7" i="1"/>
  <c r="Q7" i="1"/>
  <c r="P7" i="1"/>
  <c r="O7" i="1"/>
  <c r="N7" i="1"/>
  <c r="R6" i="1"/>
  <c r="Q6" i="1"/>
  <c r="P6" i="1"/>
  <c r="O6" i="1"/>
  <c r="N6" i="1"/>
  <c r="R5" i="1"/>
  <c r="Q5" i="1"/>
  <c r="P5" i="1"/>
  <c r="O5" i="1"/>
  <c r="N5" i="1"/>
  <c r="Q4" i="1"/>
  <c r="P4" i="1"/>
  <c r="O4" i="1"/>
  <c r="B32" i="2"/>
  <c r="B44" i="2" s="1"/>
  <c r="C31" i="2"/>
  <c r="B33" i="2"/>
  <c r="F31" i="2"/>
  <c r="D31" i="2"/>
  <c r="E31" i="2"/>
  <c r="B31" i="2"/>
  <c r="B43" i="2" s="1"/>
  <c r="D33" i="2"/>
  <c r="E35" i="2"/>
  <c r="C34" i="1"/>
  <c r="B35" i="1"/>
  <c r="C35" i="1"/>
  <c r="B48" i="1" s="1"/>
  <c r="D35" i="1"/>
  <c r="B33" i="1"/>
  <c r="E34" i="1"/>
  <c r="B77" i="4" l="1"/>
  <c r="D53" i="4"/>
  <c r="E25" i="4"/>
  <c r="E46" i="4" s="1"/>
  <c r="C25" i="4"/>
  <c r="C46" i="4" s="1"/>
  <c r="B53" i="4"/>
  <c r="E53" i="4"/>
  <c r="C31" i="4"/>
  <c r="C52" i="4" s="1"/>
  <c r="D31" i="4"/>
  <c r="D52" i="4" s="1"/>
  <c r="C54" i="4"/>
  <c r="B25" i="4"/>
  <c r="B46" i="4" s="1"/>
  <c r="B31" i="4"/>
  <c r="B52" i="4" s="1"/>
  <c r="D27" i="4"/>
  <c r="D48" i="4" s="1"/>
  <c r="E27" i="4"/>
  <c r="E48" i="4" s="1"/>
  <c r="B54" i="4"/>
  <c r="D54" i="4"/>
  <c r="E54" i="4"/>
  <c r="E55" i="4"/>
  <c r="C53" i="4"/>
  <c r="C55" i="4"/>
  <c r="D55" i="4"/>
  <c r="D26" i="4"/>
  <c r="D47" i="4" s="1"/>
  <c r="C26" i="4"/>
  <c r="C47" i="4" s="1"/>
  <c r="B68" i="4" s="1"/>
  <c r="E26" i="4"/>
  <c r="E47" i="4" s="1"/>
  <c r="B27" i="4"/>
  <c r="B48" i="4" s="1"/>
  <c r="B69" i="4" s="1"/>
  <c r="B28" i="4"/>
  <c r="B49" i="4" s="1"/>
  <c r="B70" i="4" s="1"/>
  <c r="B45" i="2"/>
  <c r="B52" i="1"/>
  <c r="F29" i="2"/>
  <c r="B30" i="4"/>
  <c r="B51" i="4" s="1"/>
  <c r="D30" i="4"/>
  <c r="D51" i="4" s="1"/>
  <c r="E30" i="4"/>
  <c r="E51" i="4" s="1"/>
  <c r="C30" i="4"/>
  <c r="C51" i="4" s="1"/>
  <c r="B50" i="1"/>
  <c r="C29" i="2"/>
  <c r="B41" i="2" s="1"/>
  <c r="B46" i="1"/>
  <c r="B25" i="2"/>
  <c r="B37" i="2" s="1"/>
  <c r="J22" i="2"/>
  <c r="C34" i="2" s="1"/>
  <c r="L23" i="2"/>
  <c r="F35" i="2" s="1"/>
  <c r="C24" i="2"/>
  <c r="C36" i="2" s="1"/>
  <c r="D29" i="4"/>
  <c r="D50" i="4" s="1"/>
  <c r="E25" i="1"/>
  <c r="E38" i="1" s="1"/>
  <c r="D26" i="1"/>
  <c r="D39" i="1" s="1"/>
  <c r="C26" i="1"/>
  <c r="C39" i="1" s="1"/>
  <c r="E19" i="1"/>
  <c r="E32" i="1" s="1"/>
  <c r="E23" i="1"/>
  <c r="E36" i="1" s="1"/>
  <c r="I18" i="1"/>
  <c r="C31" i="1" s="1"/>
  <c r="B23" i="1"/>
  <c r="B36" i="1" s="1"/>
  <c r="B49" i="1" s="1"/>
  <c r="L22" i="2"/>
  <c r="F34" i="2" s="1"/>
  <c r="F4" i="1"/>
  <c r="K17" i="2"/>
  <c r="D29" i="2" s="1"/>
  <c r="E26" i="1"/>
  <c r="E39" i="1" s="1"/>
  <c r="C23" i="1"/>
  <c r="C36" i="1" s="1"/>
  <c r="E18" i="2"/>
  <c r="E30" i="2" s="1"/>
  <c r="D20" i="1"/>
  <c r="D33" i="1" s="1"/>
  <c r="I22" i="2"/>
  <c r="B34" i="2" s="1"/>
  <c r="B46" i="2" s="1"/>
  <c r="D28" i="4"/>
  <c r="D49" i="4" s="1"/>
  <c r="E29" i="4"/>
  <c r="E50" i="4" s="1"/>
  <c r="E28" i="4"/>
  <c r="E49" i="4" s="1"/>
  <c r="M17" i="2"/>
  <c r="M22" i="2"/>
  <c r="B24" i="2"/>
  <c r="B36" i="2" s="1"/>
  <c r="E24" i="1"/>
  <c r="E37" i="1" s="1"/>
  <c r="J17" i="2"/>
  <c r="D25" i="2"/>
  <c r="D37" i="2" s="1"/>
  <c r="C20" i="1"/>
  <c r="C33" i="1" s="1"/>
  <c r="F18" i="2"/>
  <c r="F30" i="2" s="1"/>
  <c r="B18" i="2"/>
  <c r="B30" i="2" s="1"/>
  <c r="B42" i="2" s="1"/>
  <c r="E31" i="4"/>
  <c r="E52" i="4" s="1"/>
  <c r="L17" i="2"/>
  <c r="R4" i="1"/>
  <c r="B19" i="1"/>
  <c r="B32" i="1" s="1"/>
  <c r="B45" i="1" s="1"/>
  <c r="H18" i="1"/>
  <c r="B31" i="1" s="1"/>
  <c r="B44" i="1" s="1"/>
  <c r="E24" i="2"/>
  <c r="E36" i="2" s="1"/>
  <c r="C25" i="2"/>
  <c r="C37" i="2" s="1"/>
  <c r="C29" i="4"/>
  <c r="C50" i="4" s="1"/>
  <c r="B71" i="4" s="1"/>
  <c r="B74" i="4" l="1"/>
  <c r="B67" i="4"/>
  <c r="B73" i="4"/>
  <c r="B75" i="4"/>
  <c r="B76" i="4"/>
  <c r="B17" i="1"/>
  <c r="B30" i="1" s="1"/>
  <c r="B43" i="1" s="1"/>
  <c r="D17" i="1"/>
  <c r="D30" i="1" s="1"/>
  <c r="C17" i="1"/>
  <c r="C30" i="1" s="1"/>
  <c r="B48" i="2"/>
  <c r="B49" i="2"/>
  <c r="B72" i="4"/>
  <c r="E17" i="1"/>
  <c r="E30" i="1" s="1"/>
</calcChain>
</file>

<file path=xl/sharedStrings.xml><?xml version="1.0" encoding="utf-8"?>
<sst xmlns="http://schemas.openxmlformats.org/spreadsheetml/2006/main" count="188" uniqueCount="55">
  <si>
    <t xml:space="preserve"> </t>
  </si>
  <si>
    <t>AA Pop</t>
  </si>
  <si>
    <t>Ang Pop</t>
  </si>
  <si>
    <t>H Pop</t>
  </si>
  <si>
    <t>Other Pop</t>
  </si>
  <si>
    <t>African American#</t>
  </si>
  <si>
    <t>Anglo#</t>
  </si>
  <si>
    <t>Hispanic#</t>
  </si>
  <si>
    <t>Native American#</t>
  </si>
  <si>
    <t>Other#</t>
  </si>
  <si>
    <t>African American</t>
  </si>
  <si>
    <t>White</t>
  </si>
  <si>
    <t>Hispanic</t>
  </si>
  <si>
    <t>Native American</t>
  </si>
  <si>
    <t>Other</t>
  </si>
  <si>
    <t>African-American</t>
  </si>
  <si>
    <t>Anglo</t>
  </si>
  <si>
    <t>Removals</t>
  </si>
  <si>
    <t>Total Population</t>
  </si>
  <si>
    <t>Total</t>
  </si>
  <si>
    <t>Total Pop</t>
  </si>
  <si>
    <t>Disproportionality Ratio</t>
  </si>
  <si>
    <t>Disparity</t>
  </si>
  <si>
    <t>African-American vs. White</t>
  </si>
  <si>
    <t>Travis County</t>
  </si>
  <si>
    <t>Note: Data are reported by Fiscal Year</t>
  </si>
  <si>
    <t>Note: Racial and ethnic categories represent Texas Health and Human Services Commission standards and may differ from standards used by other agencies and organizations, including the U.S. Census Bureau. These standards were adopted in 2012, therefore data on race/ethnicity are not directly comparable to data reported for 2011 and before</t>
  </si>
  <si>
    <t>Confirmed Victims</t>
  </si>
  <si>
    <t>Note: Population data are reported by DFPS using data produced by the Texas State Data Center.The Texas Population Estimates Program produces annual estimates of the total populations of counties and places in the state and estimates of county populations by age, sex, and race/ethnicity, based on population data from 2014. http://demographics.texas.gov/Data/TPEPP/Projections/</t>
  </si>
  <si>
    <t xml:space="preserve">Travis County </t>
  </si>
  <si>
    <t xml:space="preserve">Confirmed Victims </t>
  </si>
  <si>
    <t>Disproportionality Ratio - Removals to Confirmed</t>
  </si>
  <si>
    <t>Note: Population data are reported by DFPS using data produced by the Texas State Data Center.The Texas Population Estimates Program produces annual estimates of the total populations of counties and places in the state and estimates of county populations by age, sex, and race/ethnicity, based on population data from 2015. http://demographics.texas.gov/Data/TPEPP/Estimates/</t>
  </si>
  <si>
    <t>Black</t>
  </si>
  <si>
    <t>FY 2012</t>
  </si>
  <si>
    <t>FY 2013</t>
  </si>
  <si>
    <t>FY 2014</t>
  </si>
  <si>
    <t>FY 2015</t>
  </si>
  <si>
    <t>FY 2016</t>
  </si>
  <si>
    <t>FY 2011</t>
  </si>
  <si>
    <t>FY 2008</t>
  </si>
  <si>
    <t>FY 2009</t>
  </si>
  <si>
    <t>FY 2010</t>
  </si>
  <si>
    <t>Source: Texas Department of Family and Protective Services; Annual Report and Data Book https://www.dfps.state.tx.us/About_DFPS/Data_Book/Child_Protective_Services/Conservatorship/Removals.asp</t>
  </si>
  <si>
    <t>FY 2017</t>
  </si>
  <si>
    <t>FY 2018</t>
  </si>
  <si>
    <t>Source: Texas Department of Family and Protective Services; Annual Report and Data Book http://www.dfps.state.tx.us/About_DFPS/Data_Book/Child_Protective_Investigations/Investigations/Victims.asp</t>
  </si>
  <si>
    <t>FY 2019</t>
  </si>
  <si>
    <t>FY 2020</t>
  </si>
  <si>
    <t>FY 2021</t>
  </si>
  <si>
    <t>FY 2022</t>
  </si>
  <si>
    <t>FY 2023</t>
  </si>
  <si>
    <t>Note: Confirmed Victim Data from https://www.dfps.texas.gov/About_DFPS/Data_Book/Child_Protective_Investigations/Investigations/Victims.asp</t>
  </si>
  <si>
    <t>FY 2024</t>
  </si>
  <si>
    <t>Note: Population data are reported by DFPS using data produced by the Texas State Data Center.The Texas Population Estimates Program produces annual estimates of the total populations of counties and places in the state and estimates of county populations by age, sex, and race/ethnicity, based on population data from 2014. https://www.dfps.texas.gov/About_DFPS/Data_Book/Child_Protective_Investigations/Populations_at_Risk.asp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</si>
</sst>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
  </numFmts>
  <fonts count="15" x14ac:knownFonts="1">
    <font>
      <sz val="12"/>
      <color theme="1"/>
      <name val="Calibri"/>
      <family val="2"/>
      <scheme val="minor"/>
    </font>
    <font>
      <sz val="12"/>
      <color theme="1"/>
      <name val="Calibri"/>
      <family val="2"/>
      <scheme val="minor"/>
    </font>
    <font>
      <sz val="10"/>
      <name val="Arial"/>
      <family val="2"/>
    </font>
    <font>
      <b/>
      <sz val="11"/>
      <name val="Corbel"/>
      <family val="2"/>
    </font>
    <font>
      <sz val="11"/>
      <name val="Corbel"/>
      <family val="2"/>
    </font>
    <font>
      <b/>
      <sz val="8"/>
      <color theme="1"/>
      <name val="Arial"/>
      <family val="2"/>
    </font>
    <font>
      <sz val="8"/>
      <color theme="1"/>
      <name val="Arial"/>
      <family val="2"/>
    </font>
    <font>
      <sz val="8"/>
      <color theme="1"/>
      <name val="Arial"/>
      <family val="2"/>
    </font>
    <font>
      <b/>
      <sz val="11"/>
      <name val="Tw Cen MT"/>
      <family val="2"/>
    </font>
    <font>
      <sz val="11"/>
      <name val="Tw Cen MT"/>
      <family val="2"/>
    </font>
    <font>
      <sz val="12"/>
      <color theme="1"/>
      <name val="Tw Cen MT"/>
      <family val="2"/>
    </font>
    <font>
      <sz val="8"/>
      <color theme="1"/>
      <name val="Arial"/>
    </font>
    <font>
      <b/>
      <sz val="11"/>
      <name val="Tw Cen MT"/>
    </font>
    <font>
      <sz val="11"/>
      <name val="Tw Cen MT"/>
    </font>
    <font>
      <sz val="8"/>
      <name val="Calibri"/>
      <family val="2"/>
      <scheme val="minor"/>
    </font>
  </fonts>
  <fills count="5">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theme="4" tint="0.59999389629810485"/>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57">
    <xf numFmtId="0" fontId="0" fillId="0" borderId="0" xfId="0"/>
    <xf numFmtId="0" fontId="3" fillId="0" borderId="0" xfId="0" applyFont="1"/>
    <xf numFmtId="0" fontId="4" fillId="0" borderId="0" xfId="0" applyFont="1"/>
    <xf numFmtId="0" fontId="6" fillId="0" borderId="0" xfId="0" applyFont="1"/>
    <xf numFmtId="3" fontId="6" fillId="0" borderId="0" xfId="0" applyNumberFormat="1" applyFont="1"/>
    <xf numFmtId="0" fontId="5" fillId="0" borderId="0" xfId="0" applyFont="1"/>
    <xf numFmtId="1" fontId="6" fillId="0" borderId="0" xfId="0" applyNumberFormat="1" applyFont="1"/>
    <xf numFmtId="164" fontId="6" fillId="0" borderId="0" xfId="1" applyNumberFormat="1" applyFont="1" applyFill="1" applyBorder="1"/>
    <xf numFmtId="165" fontId="6" fillId="0" borderId="0" xfId="1" applyNumberFormat="1" applyFont="1" applyFill="1" applyBorder="1"/>
    <xf numFmtId="0" fontId="6" fillId="0" borderId="0" xfId="0" applyFont="1" applyAlignment="1">
      <alignment wrapText="1"/>
    </xf>
    <xf numFmtId="165" fontId="6" fillId="0" borderId="0" xfId="0" applyNumberFormat="1" applyFont="1"/>
    <xf numFmtId="9" fontId="6" fillId="0" borderId="0" xfId="1" applyFont="1" applyFill="1" applyBorder="1"/>
    <xf numFmtId="0" fontId="7" fillId="0" borderId="0" xfId="0" applyFont="1"/>
    <xf numFmtId="0" fontId="8" fillId="0" borderId="0" xfId="0" applyFont="1"/>
    <xf numFmtId="0" fontId="9" fillId="0" borderId="0" xfId="0" applyFont="1"/>
    <xf numFmtId="0" fontId="8" fillId="0" borderId="0" xfId="0" applyFont="1" applyProtection="1">
      <protection locked="0"/>
    </xf>
    <xf numFmtId="0" fontId="8" fillId="0" borderId="4" xfId="0" applyFont="1" applyBorder="1"/>
    <xf numFmtId="0" fontId="10" fillId="2" borderId="1" xfId="0" applyFont="1" applyFill="1" applyBorder="1"/>
    <xf numFmtId="0" fontId="10" fillId="2" borderId="0" xfId="0" applyFont="1" applyFill="1"/>
    <xf numFmtId="0" fontId="9" fillId="0" borderId="4" xfId="0" applyFont="1" applyBorder="1"/>
    <xf numFmtId="0" fontId="10" fillId="3" borderId="1" xfId="0" applyFont="1" applyFill="1" applyBorder="1"/>
    <xf numFmtId="1" fontId="10" fillId="3" borderId="1" xfId="0" applyNumberFormat="1" applyFont="1" applyFill="1" applyBorder="1"/>
    <xf numFmtId="1" fontId="10" fillId="2" borderId="1" xfId="0" applyNumberFormat="1" applyFont="1" applyFill="1" applyBorder="1"/>
    <xf numFmtId="3" fontId="10" fillId="3" borderId="2" xfId="0" applyNumberFormat="1" applyFont="1" applyFill="1" applyBorder="1"/>
    <xf numFmtId="3" fontId="10" fillId="2" borderId="3" xfId="0" applyNumberFormat="1" applyFont="1" applyFill="1" applyBorder="1"/>
    <xf numFmtId="3" fontId="10" fillId="2" borderId="0" xfId="0" applyNumberFormat="1" applyFont="1" applyFill="1"/>
    <xf numFmtId="0" fontId="10" fillId="0" borderId="4" xfId="0" applyFont="1" applyBorder="1"/>
    <xf numFmtId="1" fontId="9" fillId="0" borderId="0" xfId="0" applyNumberFormat="1" applyFont="1" applyAlignment="1" applyProtection="1">
      <alignment horizontal="right" vertical="center"/>
      <protection locked="0"/>
    </xf>
    <xf numFmtId="1" fontId="9" fillId="2" borderId="0" xfId="0" applyNumberFormat="1" applyFont="1" applyFill="1" applyAlignment="1" applyProtection="1">
      <alignment horizontal="right" vertical="center"/>
      <protection locked="0"/>
    </xf>
    <xf numFmtId="0" fontId="10" fillId="0" borderId="0" xfId="0" applyFont="1"/>
    <xf numFmtId="164" fontId="9" fillId="0" borderId="4" xfId="1" applyNumberFormat="1" applyFont="1" applyFill="1" applyBorder="1"/>
    <xf numFmtId="164" fontId="9" fillId="0" borderId="0" xfId="1" applyNumberFormat="1" applyFont="1" applyFill="1"/>
    <xf numFmtId="165" fontId="9" fillId="0" borderId="4" xfId="1" applyNumberFormat="1" applyFont="1" applyFill="1" applyBorder="1"/>
    <xf numFmtId="0" fontId="8" fillId="0" borderId="4" xfId="0" applyFont="1" applyBorder="1" applyAlignment="1">
      <alignment wrapText="1"/>
    </xf>
    <xf numFmtId="165" fontId="9" fillId="0" borderId="4" xfId="0" applyNumberFormat="1" applyFont="1" applyBorder="1"/>
    <xf numFmtId="0" fontId="8" fillId="0" borderId="4" xfId="0" applyFont="1" applyBorder="1" applyAlignment="1">
      <alignment horizontal="right"/>
    </xf>
    <xf numFmtId="0" fontId="11" fillId="0" borderId="0" xfId="0" applyFont="1"/>
    <xf numFmtId="0" fontId="11" fillId="3" borderId="6" xfId="0" applyFont="1" applyFill="1" applyBorder="1"/>
    <xf numFmtId="3" fontId="10" fillId="0" borderId="4" xfId="0" applyNumberFormat="1" applyFont="1" applyBorder="1"/>
    <xf numFmtId="2" fontId="9" fillId="0" borderId="4" xfId="1" applyNumberFormat="1" applyFont="1" applyFill="1" applyBorder="1"/>
    <xf numFmtId="1" fontId="11" fillId="3" borderId="2" xfId="0" applyNumberFormat="1" applyFont="1" applyFill="1" applyBorder="1"/>
    <xf numFmtId="1" fontId="11" fillId="3" borderId="5" xfId="0" applyNumberFormat="1" applyFont="1" applyFill="1" applyBorder="1"/>
    <xf numFmtId="0" fontId="8" fillId="0" borderId="0" xfId="0" applyFont="1" applyAlignment="1">
      <alignment horizontal="right"/>
    </xf>
    <xf numFmtId="165" fontId="9" fillId="0" borderId="0" xfId="0" applyNumberFormat="1" applyFont="1"/>
    <xf numFmtId="1" fontId="13" fillId="0" borderId="0" xfId="0" applyNumberFormat="1" applyFont="1" applyAlignment="1" applyProtection="1">
      <alignment horizontal="right" vertical="center"/>
      <protection locked="0"/>
    </xf>
    <xf numFmtId="1" fontId="13" fillId="2" borderId="0" xfId="0" applyNumberFormat="1" applyFont="1" applyFill="1" applyAlignment="1" applyProtection="1">
      <alignment horizontal="right" vertical="center"/>
      <protection locked="0"/>
    </xf>
    <xf numFmtId="0" fontId="12" fillId="0" borderId="7" xfId="0" applyFont="1" applyBorder="1" applyAlignment="1" applyProtection="1">
      <alignment horizontal="right"/>
      <protection locked="0"/>
    </xf>
    <xf numFmtId="0" fontId="12" fillId="0" borderId="4" xfId="0" applyFont="1" applyBorder="1" applyAlignment="1" applyProtection="1">
      <alignment horizontal="right"/>
      <protection locked="0"/>
    </xf>
    <xf numFmtId="164" fontId="9" fillId="0" borderId="0" xfId="1" applyNumberFormat="1" applyFont="1" applyFill="1" applyBorder="1"/>
    <xf numFmtId="165" fontId="9" fillId="0" borderId="0" xfId="1" applyNumberFormat="1" applyFont="1" applyFill="1" applyBorder="1"/>
    <xf numFmtId="2" fontId="9" fillId="0" borderId="0" xfId="1" applyNumberFormat="1" applyFont="1" applyFill="1" applyBorder="1"/>
    <xf numFmtId="3" fontId="10" fillId="4" borderId="0" xfId="0" applyNumberFormat="1" applyFont="1" applyFill="1"/>
    <xf numFmtId="0" fontId="10" fillId="4" borderId="0" xfId="0" applyFont="1" applyFill="1"/>
    <xf numFmtId="1" fontId="13" fillId="4" borderId="0" xfId="0" applyNumberFormat="1" applyFont="1" applyFill="1" applyAlignment="1" applyProtection="1">
      <alignment horizontal="right" vertical="center"/>
      <protection locked="0"/>
    </xf>
    <xf numFmtId="3" fontId="9" fillId="0" borderId="0" xfId="0" applyNumberFormat="1" applyFont="1"/>
    <xf numFmtId="1" fontId="13" fillId="0" borderId="2" xfId="0" applyNumberFormat="1" applyFont="1" applyBorder="1" applyAlignment="1" applyProtection="1">
      <alignment horizontal="right" vertical="center"/>
      <protection locked="0"/>
    </xf>
    <xf numFmtId="166" fontId="9" fillId="0" borderId="4" xfId="1" applyNumberFormat="1" applyFont="1" applyFill="1" applyBorder="1"/>
  </cellXfs>
  <cellStyles count="3">
    <cellStyle name="Normal" xfId="0" builtinId="0"/>
    <cellStyle name="Normal 2" xfId="2" xr:uid="{00000000-0005-0000-0000-000001000000}"/>
    <cellStyle name="Percent" xfId="1" builtinId="5"/>
  </cellStyles>
  <dxfs count="25">
    <dxf>
      <font>
        <strike val="0"/>
        <outline val="0"/>
        <shadow val="0"/>
        <u val="none"/>
        <vertAlign val="baseline"/>
        <sz val="8"/>
        <color theme="1"/>
        <name val="Arial"/>
        <scheme val="none"/>
      </font>
      <numFmt numFmtId="0" formatCode="General"/>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numFmt numFmtId="0" formatCode="General"/>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8"/>
        <color theme="1"/>
        <name val="Arial"/>
        <scheme val="none"/>
      </font>
      <fill>
        <patternFill patternType="none">
          <bgColor auto="1"/>
        </patternFill>
      </fill>
    </dxf>
    <dxf>
      <font>
        <strike val="0"/>
        <outline val="0"/>
        <shadow val="0"/>
        <u val="none"/>
        <vertAlign val="baseline"/>
        <sz val="11"/>
        <color auto="1"/>
        <name val="Tw Cen MT"/>
        <scheme val="none"/>
      </font>
      <numFmt numFmtId="1" formatCode="0"/>
      <fill>
        <patternFill patternType="solid">
          <fgColor theme="4" tint="0.59999389629810485"/>
          <bgColor theme="4" tint="0.59999389629810485"/>
        </patternFill>
      </fill>
      <alignment horizontal="right" vertical="center" textRotation="0" wrapText="0" indent="0" justifyLastLine="0" shrinkToFit="0" readingOrder="0"/>
      <protection locked="0" hidden="0"/>
    </dxf>
    <dxf>
      <font>
        <strike val="0"/>
        <outline val="0"/>
        <shadow val="0"/>
        <u val="none"/>
        <vertAlign val="baseline"/>
        <sz val="11"/>
        <color auto="1"/>
        <name val="Tw Cen MT"/>
        <scheme val="none"/>
      </font>
      <numFmt numFmtId="1" formatCode="0"/>
      <fill>
        <patternFill patternType="none">
          <fgColor indexed="64"/>
          <bgColor auto="1"/>
        </patternFill>
      </fill>
      <alignment horizontal="right" vertical="center" textRotation="0" wrapText="0" indent="0" justifyLastLine="0" shrinkToFit="0" readingOrder="0"/>
      <protection locked="0" hidden="0"/>
    </dxf>
    <dxf>
      <font>
        <strike val="0"/>
        <outline val="0"/>
        <shadow val="0"/>
        <u val="none"/>
        <vertAlign val="baseline"/>
        <sz val="11"/>
        <color auto="1"/>
        <name val="Tw Cen MT"/>
        <scheme val="none"/>
      </font>
      <numFmt numFmtId="1" formatCode="0"/>
      <fill>
        <patternFill patternType="none">
          <fgColor indexed="64"/>
          <bgColor auto="1"/>
        </patternFill>
      </fill>
      <alignment horizontal="right" vertical="center" textRotation="0" wrapText="0" indent="0" justifyLastLine="0" shrinkToFit="0" readingOrder="0"/>
      <protection locked="0" hidden="0"/>
    </dxf>
    <dxf>
      <font>
        <strike val="0"/>
        <outline val="0"/>
        <shadow val="0"/>
        <u val="none"/>
        <vertAlign val="baseline"/>
        <sz val="11"/>
        <color auto="1"/>
        <name val="Tw Cen MT"/>
        <scheme val="none"/>
      </font>
      <numFmt numFmtId="1" formatCode="0"/>
      <fill>
        <patternFill patternType="none">
          <fgColor indexed="64"/>
          <bgColor auto="1"/>
        </patternFill>
      </fill>
      <alignment horizontal="right" vertical="center" textRotation="0" wrapText="0" indent="0" justifyLastLine="0" shrinkToFit="0" readingOrder="0"/>
      <protection locked="0" hidden="0"/>
    </dxf>
    <dxf>
      <font>
        <strike val="0"/>
        <outline val="0"/>
        <shadow val="0"/>
        <u val="none"/>
        <vertAlign val="baseline"/>
        <sz val="11"/>
        <color auto="1"/>
        <name val="Tw Cen MT"/>
        <scheme val="none"/>
      </font>
      <numFmt numFmtId="1" formatCode="0"/>
      <fill>
        <patternFill patternType="none">
          <fgColor indexed="64"/>
          <bgColor auto="1"/>
        </patternFill>
      </fill>
      <alignment horizontal="right" vertical="center" textRotation="0" wrapText="0" indent="0" justifyLastLine="0" shrinkToFit="0" readingOrder="0"/>
      <protection locked="0" hidden="0"/>
    </dxf>
    <dxf>
      <font>
        <b/>
        <strike val="0"/>
        <outline val="0"/>
        <shadow val="0"/>
        <u val="none"/>
        <vertAlign val="baseline"/>
        <sz val="11"/>
        <color auto="1"/>
        <name val="Tw Cen MT"/>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Tw Cen MT"/>
        <scheme val="none"/>
      </font>
      <fill>
        <patternFill patternType="none">
          <fgColor indexed="64"/>
          <bgColor auto="1"/>
        </patternFill>
      </fill>
      <protection locked="0" hidden="0"/>
    </dxf>
    <dxf>
      <font>
        <strike val="0"/>
        <outline val="0"/>
        <shadow val="0"/>
        <u val="none"/>
        <vertAlign val="baseline"/>
        <sz val="11"/>
        <color auto="1"/>
        <name val="Tw Cen MT"/>
        <scheme val="none"/>
      </font>
      <fill>
        <patternFill patternType="none">
          <fgColor indexed="64"/>
          <bgColor auto="1"/>
        </patternFill>
      </fill>
      <protection locked="0" hidden="0"/>
    </dxf>
  </dxfs>
  <tableStyles count="0" defaultTableStyle="TableStyleMedium9" defaultPivotStyle="PivotStyleMedium4"/>
  <colors>
    <mruColors>
      <color rgb="FFFFFFFF"/>
      <color rgb="FF000000"/>
      <color rgb="FF9BBB59"/>
      <color rgb="FFC0504D"/>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r>
              <a:rPr lang="en-US"/>
              <a:t>Disproportionality Ratios for Confirmed Victims of Child Abuse/Neglect, Compared to Total Population, Travis County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1303256432239739E-2"/>
          <c:y val="0.27443883226584226"/>
          <c:w val="0.89838244921704713"/>
          <c:h val="0.56610343729607981"/>
        </c:manualLayout>
      </c:layout>
      <c:barChart>
        <c:barDir val="col"/>
        <c:grouping val="clustered"/>
        <c:varyColors val="0"/>
        <c:ser>
          <c:idx val="0"/>
          <c:order val="0"/>
          <c:tx>
            <c:strRef>
              <c:f>'Victims as % Total Pop'!$B$45</c:f>
              <c:strCache>
                <c:ptCount val="1"/>
                <c:pt idx="0">
                  <c:v>Black</c:v>
                </c:pt>
              </c:strCache>
            </c:strRef>
          </c:tx>
          <c:spPr>
            <a:solidFill>
              <a:schemeClr val="accent1"/>
            </a:solidFill>
            <a:ln>
              <a:noFill/>
            </a:ln>
            <a:effectLst/>
          </c:spPr>
          <c:invertIfNegative val="0"/>
          <c:cat>
            <c:strRef>
              <c:f>'Victims as % Total Pop'!$A$58:$A$62</c:f>
              <c:strCache>
                <c:ptCount val="5"/>
                <c:pt idx="0">
                  <c:v>FY 2020</c:v>
                </c:pt>
                <c:pt idx="1">
                  <c:v>FY 2021</c:v>
                </c:pt>
                <c:pt idx="2">
                  <c:v>FY 2022</c:v>
                </c:pt>
                <c:pt idx="3">
                  <c:v>FY 2023</c:v>
                </c:pt>
                <c:pt idx="4">
                  <c:v>FY 2024</c:v>
                </c:pt>
              </c:strCache>
            </c:strRef>
          </c:cat>
          <c:val>
            <c:numRef>
              <c:f>'Victims as % Total Pop'!$B$58:$B$62</c:f>
              <c:numCache>
                <c:formatCode>0.0</c:formatCode>
                <c:ptCount val="5"/>
                <c:pt idx="0">
                  <c:v>2.4973573662003488</c:v>
                </c:pt>
                <c:pt idx="1">
                  <c:v>2.590976864507629</c:v>
                </c:pt>
                <c:pt idx="2">
                  <c:v>2.4937245157512642</c:v>
                </c:pt>
                <c:pt idx="3">
                  <c:v>2.6542910775277768</c:v>
                </c:pt>
                <c:pt idx="4">
                  <c:v>2.2833850941789633</c:v>
                </c:pt>
              </c:numCache>
            </c:numRef>
          </c:val>
          <c:extLst>
            <c:ext xmlns:c16="http://schemas.microsoft.com/office/drawing/2014/chart" uri="{C3380CC4-5D6E-409C-BE32-E72D297353CC}">
              <c16:uniqueId val="{00000000-9AB7-4924-9449-660DEF78B89A}"/>
            </c:ext>
          </c:extLst>
        </c:ser>
        <c:ser>
          <c:idx val="1"/>
          <c:order val="1"/>
          <c:tx>
            <c:strRef>
              <c:f>'Victims as % Total Pop'!$C$45</c:f>
              <c:strCache>
                <c:ptCount val="1"/>
                <c:pt idx="0">
                  <c:v>White</c:v>
                </c:pt>
              </c:strCache>
            </c:strRef>
          </c:tx>
          <c:spPr>
            <a:solidFill>
              <a:schemeClr val="accent6"/>
            </a:solidFill>
            <a:ln>
              <a:noFill/>
            </a:ln>
            <a:effectLst/>
          </c:spPr>
          <c:invertIfNegative val="0"/>
          <c:cat>
            <c:strRef>
              <c:f>'Victims as % Total Pop'!$A$58:$A$62</c:f>
              <c:strCache>
                <c:ptCount val="5"/>
                <c:pt idx="0">
                  <c:v>FY 2020</c:v>
                </c:pt>
                <c:pt idx="1">
                  <c:v>FY 2021</c:v>
                </c:pt>
                <c:pt idx="2">
                  <c:v>FY 2022</c:v>
                </c:pt>
                <c:pt idx="3">
                  <c:v>FY 2023</c:v>
                </c:pt>
                <c:pt idx="4">
                  <c:v>FY 2024</c:v>
                </c:pt>
              </c:strCache>
            </c:strRef>
          </c:cat>
          <c:val>
            <c:numRef>
              <c:f>'Victims as % Total Pop'!$C$58:$C$62</c:f>
              <c:numCache>
                <c:formatCode>0.00</c:formatCode>
                <c:ptCount val="5"/>
                <c:pt idx="0">
                  <c:v>0.41220264089408193</c:v>
                </c:pt>
                <c:pt idx="1">
                  <c:v>0.38983737327096002</c:v>
                </c:pt>
                <c:pt idx="2">
                  <c:v>0.43351248816526716</c:v>
                </c:pt>
                <c:pt idx="3">
                  <c:v>0.39886919773622209</c:v>
                </c:pt>
                <c:pt idx="4">
                  <c:v>0.36509564341502992</c:v>
                </c:pt>
              </c:numCache>
            </c:numRef>
          </c:val>
          <c:extLst>
            <c:ext xmlns:c16="http://schemas.microsoft.com/office/drawing/2014/chart" uri="{C3380CC4-5D6E-409C-BE32-E72D297353CC}">
              <c16:uniqueId val="{00000001-9AB7-4924-9449-660DEF78B89A}"/>
            </c:ext>
          </c:extLst>
        </c:ser>
        <c:ser>
          <c:idx val="2"/>
          <c:order val="2"/>
          <c:tx>
            <c:strRef>
              <c:f>'Victims as % Total Pop'!$D$45</c:f>
              <c:strCache>
                <c:ptCount val="1"/>
                <c:pt idx="0">
                  <c:v>Hispanic</c:v>
                </c:pt>
              </c:strCache>
            </c:strRef>
          </c:tx>
          <c:spPr>
            <a:solidFill>
              <a:schemeClr val="accent3"/>
            </a:solidFill>
            <a:ln>
              <a:noFill/>
            </a:ln>
            <a:effectLst/>
          </c:spPr>
          <c:invertIfNegative val="0"/>
          <c:cat>
            <c:strRef>
              <c:f>'Victims as % Total Pop'!$A$58:$A$62</c:f>
              <c:strCache>
                <c:ptCount val="5"/>
                <c:pt idx="0">
                  <c:v>FY 2020</c:v>
                </c:pt>
                <c:pt idx="1">
                  <c:v>FY 2021</c:v>
                </c:pt>
                <c:pt idx="2">
                  <c:v>FY 2022</c:v>
                </c:pt>
                <c:pt idx="3">
                  <c:v>FY 2023</c:v>
                </c:pt>
                <c:pt idx="4">
                  <c:v>FY 2024</c:v>
                </c:pt>
              </c:strCache>
            </c:strRef>
          </c:cat>
          <c:val>
            <c:numRef>
              <c:f>'Victims as % Total Pop'!$D$58:$D$62</c:f>
              <c:numCache>
                <c:formatCode>0.00</c:formatCode>
                <c:ptCount val="5"/>
                <c:pt idx="0">
                  <c:v>1.197135000926326</c:v>
                </c:pt>
                <c:pt idx="1">
                  <c:v>1.2902946263051704</c:v>
                </c:pt>
                <c:pt idx="2">
                  <c:v>1.2660738714774649</c:v>
                </c:pt>
                <c:pt idx="3">
                  <c:v>1.2617434661874729</c:v>
                </c:pt>
                <c:pt idx="4">
                  <c:v>1.3669776493802663</c:v>
                </c:pt>
              </c:numCache>
            </c:numRef>
          </c:val>
          <c:extLst>
            <c:ext xmlns:c16="http://schemas.microsoft.com/office/drawing/2014/chart" uri="{C3380CC4-5D6E-409C-BE32-E72D297353CC}">
              <c16:uniqueId val="{00000002-9AB7-4924-9449-660DEF78B89A}"/>
            </c:ext>
          </c:extLst>
        </c:ser>
        <c:ser>
          <c:idx val="3"/>
          <c:order val="3"/>
          <c:tx>
            <c:strRef>
              <c:f>'Victims as % Total Pop'!$E$45</c:f>
              <c:strCache>
                <c:ptCount val="1"/>
                <c:pt idx="0">
                  <c:v>Other</c:v>
                </c:pt>
              </c:strCache>
            </c:strRef>
          </c:tx>
          <c:spPr>
            <a:solidFill>
              <a:schemeClr val="accent4"/>
            </a:solidFill>
            <a:ln>
              <a:noFill/>
            </a:ln>
            <a:effectLst/>
          </c:spPr>
          <c:invertIfNegative val="0"/>
          <c:cat>
            <c:strRef>
              <c:f>'Victims as % Total Pop'!$A$58:$A$62</c:f>
              <c:strCache>
                <c:ptCount val="5"/>
                <c:pt idx="0">
                  <c:v>FY 2020</c:v>
                </c:pt>
                <c:pt idx="1">
                  <c:v>FY 2021</c:v>
                </c:pt>
                <c:pt idx="2">
                  <c:v>FY 2022</c:v>
                </c:pt>
                <c:pt idx="3">
                  <c:v>FY 2023</c:v>
                </c:pt>
                <c:pt idx="4">
                  <c:v>FY 2024</c:v>
                </c:pt>
              </c:strCache>
            </c:strRef>
          </c:cat>
          <c:val>
            <c:numRef>
              <c:f>'Victims as % Total Pop'!$E$58:$E$62</c:f>
              <c:numCache>
                <c:formatCode>0.00</c:formatCode>
                <c:ptCount val="5"/>
                <c:pt idx="0">
                  <c:v>0.56989874150792064</c:v>
                </c:pt>
                <c:pt idx="1">
                  <c:v>0.52191047657841749</c:v>
                </c:pt>
                <c:pt idx="2">
                  <c:v>0.45445491494757467</c:v>
                </c:pt>
                <c:pt idx="3">
                  <c:v>0.46422574232634001</c:v>
                </c:pt>
                <c:pt idx="4">
                  <c:v>0.48816094987775405</c:v>
                </c:pt>
              </c:numCache>
            </c:numRef>
          </c:val>
          <c:extLst>
            <c:ext xmlns:c16="http://schemas.microsoft.com/office/drawing/2014/chart" uri="{C3380CC4-5D6E-409C-BE32-E72D297353CC}">
              <c16:uniqueId val="{00000003-9AB7-4924-9449-660DEF78B89A}"/>
            </c:ext>
          </c:extLst>
        </c:ser>
        <c:dLbls>
          <c:showLegendKey val="0"/>
          <c:showVal val="0"/>
          <c:showCatName val="0"/>
          <c:showSerName val="0"/>
          <c:showPercent val="0"/>
          <c:showBubbleSize val="0"/>
        </c:dLbls>
        <c:gapWidth val="150"/>
        <c:axId val="174600096"/>
        <c:axId val="174600488"/>
      </c:barChart>
      <c:catAx>
        <c:axId val="17460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w Cen MT" panose="020B0602020104020603" pitchFamily="34" charset="0"/>
                <a:ea typeface="+mn-ea"/>
                <a:cs typeface="+mn-cs"/>
              </a:defRPr>
            </a:pPr>
            <a:endParaRPr lang="en-US"/>
          </a:p>
        </c:txPr>
        <c:crossAx val="174600488"/>
        <c:crosses val="autoZero"/>
        <c:auto val="1"/>
        <c:lblAlgn val="ctr"/>
        <c:lblOffset val="100"/>
        <c:noMultiLvlLbl val="0"/>
      </c:catAx>
      <c:valAx>
        <c:axId val="174600488"/>
        <c:scaling>
          <c:orientation val="minMax"/>
        </c:scaling>
        <c:delete val="0"/>
        <c:axPos val="l"/>
        <c:majorGridlines>
          <c:spPr>
            <a:ln w="9525" cap="flat" cmpd="sng" algn="ctr">
              <a:solidFill>
                <a:schemeClr val="bg1">
                  <a:lumMod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w Cen MT" panose="020B0602020104020603" pitchFamily="34" charset="0"/>
                <a:ea typeface="+mn-ea"/>
                <a:cs typeface="+mn-cs"/>
              </a:defRPr>
            </a:pPr>
            <a:endParaRPr lang="en-US"/>
          </a:p>
        </c:txPr>
        <c:crossAx val="17460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Tw Cen MT" panose="020B06020201040206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w Cen MT" panose="020B0602020104020603"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r>
              <a:rPr lang="en-US" sz="1200"/>
              <a:t>Disproportionality Ratios for Child Protective Services Removals, Compared to Share</a:t>
            </a:r>
            <a:r>
              <a:rPr lang="en-US" sz="1200" baseline="0"/>
              <a:t> of Total Population, Travis County, by Fiscal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'Removals as % Total Pop'!$B$29</c:f>
              <c:strCache>
                <c:ptCount val="1"/>
                <c:pt idx="0">
                  <c:v>African-American</c:v>
                </c:pt>
              </c:strCache>
            </c:strRef>
          </c:tx>
          <c:spPr>
            <a:solidFill>
              <a:schemeClr val="accent1"/>
            </a:solidFill>
            <a:ln>
              <a:noFill/>
            </a:ln>
            <a:effectLst/>
          </c:spPr>
          <c:invertIfNegative val="0"/>
          <c:cat>
            <c:numRef>
              <c:f>'Removals as % Total Pop'!$A$35:$A$39</c:f>
              <c:numCache>
                <c:formatCode>General</c:formatCode>
                <c:ptCount val="5"/>
                <c:pt idx="0">
                  <c:v>2013</c:v>
                </c:pt>
                <c:pt idx="1">
                  <c:v>2014</c:v>
                </c:pt>
                <c:pt idx="2">
                  <c:v>2015</c:v>
                </c:pt>
                <c:pt idx="3">
                  <c:v>2016</c:v>
                </c:pt>
                <c:pt idx="4">
                  <c:v>2017</c:v>
                </c:pt>
              </c:numCache>
            </c:numRef>
          </c:cat>
          <c:val>
            <c:numRef>
              <c:f>'Removals as % Total Pop'!$B$35:$B$39</c:f>
              <c:numCache>
                <c:formatCode>0.0</c:formatCode>
                <c:ptCount val="5"/>
                <c:pt idx="0">
                  <c:v>2.8117543239008991</c:v>
                </c:pt>
                <c:pt idx="1">
                  <c:v>2.5233813837668446</c:v>
                </c:pt>
                <c:pt idx="2">
                  <c:v>3.6196552081000304</c:v>
                </c:pt>
                <c:pt idx="3">
                  <c:v>2.8898397658552435</c:v>
                </c:pt>
                <c:pt idx="4">
                  <c:v>3.3925319185388241</c:v>
                </c:pt>
              </c:numCache>
            </c:numRef>
          </c:val>
          <c:extLst>
            <c:ext xmlns:c16="http://schemas.microsoft.com/office/drawing/2014/chart" uri="{C3380CC4-5D6E-409C-BE32-E72D297353CC}">
              <c16:uniqueId val="{00000000-1BBE-428D-BE9B-3C45DFC10E24}"/>
            </c:ext>
          </c:extLst>
        </c:ser>
        <c:ser>
          <c:idx val="1"/>
          <c:order val="1"/>
          <c:tx>
            <c:strRef>
              <c:f>'Removals as % Total Pop'!$C$29</c:f>
              <c:strCache>
                <c:ptCount val="1"/>
                <c:pt idx="0">
                  <c:v>Anglo</c:v>
                </c:pt>
              </c:strCache>
            </c:strRef>
          </c:tx>
          <c:spPr>
            <a:solidFill>
              <a:schemeClr val="accent6"/>
            </a:solidFill>
            <a:ln>
              <a:noFill/>
            </a:ln>
            <a:effectLst/>
          </c:spPr>
          <c:invertIfNegative val="0"/>
          <c:cat>
            <c:numRef>
              <c:f>'Removals as % Total Pop'!$A$35:$A$39</c:f>
              <c:numCache>
                <c:formatCode>General</c:formatCode>
                <c:ptCount val="5"/>
                <c:pt idx="0">
                  <c:v>2013</c:v>
                </c:pt>
                <c:pt idx="1">
                  <c:v>2014</c:v>
                </c:pt>
                <c:pt idx="2">
                  <c:v>2015</c:v>
                </c:pt>
                <c:pt idx="3">
                  <c:v>2016</c:v>
                </c:pt>
                <c:pt idx="4">
                  <c:v>2017</c:v>
                </c:pt>
              </c:numCache>
            </c:numRef>
          </c:cat>
          <c:val>
            <c:numRef>
              <c:f>'Removals as % Total Pop'!$C$35:$C$39</c:f>
              <c:numCache>
                <c:formatCode>0.0</c:formatCode>
                <c:ptCount val="5"/>
                <c:pt idx="0">
                  <c:v>0.57384291210983984</c:v>
                </c:pt>
                <c:pt idx="1">
                  <c:v>0.56408599847003615</c:v>
                </c:pt>
                <c:pt idx="2">
                  <c:v>0.46623811578136859</c:v>
                </c:pt>
                <c:pt idx="3">
                  <c:v>0.56308132486167817</c:v>
                </c:pt>
                <c:pt idx="4">
                  <c:v>0.54867100545909242</c:v>
                </c:pt>
              </c:numCache>
            </c:numRef>
          </c:val>
          <c:extLst>
            <c:ext xmlns:c16="http://schemas.microsoft.com/office/drawing/2014/chart" uri="{C3380CC4-5D6E-409C-BE32-E72D297353CC}">
              <c16:uniqueId val="{00000001-1BBE-428D-BE9B-3C45DFC10E24}"/>
            </c:ext>
          </c:extLst>
        </c:ser>
        <c:ser>
          <c:idx val="2"/>
          <c:order val="2"/>
          <c:tx>
            <c:strRef>
              <c:f>'Removals as % Total Pop'!$D$29</c:f>
              <c:strCache>
                <c:ptCount val="1"/>
                <c:pt idx="0">
                  <c:v>Hispanic</c:v>
                </c:pt>
              </c:strCache>
            </c:strRef>
          </c:tx>
          <c:spPr>
            <a:solidFill>
              <a:schemeClr val="accent3"/>
            </a:solidFill>
            <a:ln>
              <a:noFill/>
            </a:ln>
            <a:effectLst/>
          </c:spPr>
          <c:invertIfNegative val="0"/>
          <c:cat>
            <c:numRef>
              <c:f>'Removals as % Total Pop'!$A$35:$A$39</c:f>
              <c:numCache>
                <c:formatCode>General</c:formatCode>
                <c:ptCount val="5"/>
                <c:pt idx="0">
                  <c:v>2013</c:v>
                </c:pt>
                <c:pt idx="1">
                  <c:v>2014</c:v>
                </c:pt>
                <c:pt idx="2">
                  <c:v>2015</c:v>
                </c:pt>
                <c:pt idx="3">
                  <c:v>2016</c:v>
                </c:pt>
                <c:pt idx="4">
                  <c:v>2017</c:v>
                </c:pt>
              </c:numCache>
            </c:numRef>
          </c:cat>
          <c:val>
            <c:numRef>
              <c:f>'Removals as % Total Pop'!$D$35:$D$39</c:f>
              <c:numCache>
                <c:formatCode>0.0</c:formatCode>
                <c:ptCount val="5"/>
                <c:pt idx="0">
                  <c:v>1.0588367507966281</c:v>
                </c:pt>
                <c:pt idx="1">
                  <c:v>1.1428296785093961</c:v>
                </c:pt>
                <c:pt idx="2">
                  <c:v>1.0222877458963517</c:v>
                </c:pt>
                <c:pt idx="3">
                  <c:v>1.0825937117630486</c:v>
                </c:pt>
                <c:pt idx="4">
                  <c:v>1.060320248649826</c:v>
                </c:pt>
              </c:numCache>
            </c:numRef>
          </c:val>
          <c:extLst>
            <c:ext xmlns:c16="http://schemas.microsoft.com/office/drawing/2014/chart" uri="{C3380CC4-5D6E-409C-BE32-E72D297353CC}">
              <c16:uniqueId val="{00000002-1BBE-428D-BE9B-3C45DFC10E24}"/>
            </c:ext>
          </c:extLst>
        </c:ser>
        <c:ser>
          <c:idx val="3"/>
          <c:order val="3"/>
          <c:tx>
            <c:strRef>
              <c:f>'Removals as % Total Pop'!$E$29</c:f>
              <c:strCache>
                <c:ptCount val="1"/>
                <c:pt idx="0">
                  <c:v>Other</c:v>
                </c:pt>
              </c:strCache>
            </c:strRef>
          </c:tx>
          <c:spPr>
            <a:solidFill>
              <a:schemeClr val="accent4"/>
            </a:solidFill>
            <a:ln>
              <a:noFill/>
            </a:ln>
            <a:effectLst/>
          </c:spPr>
          <c:invertIfNegative val="0"/>
          <c:cat>
            <c:numRef>
              <c:f>'Removals as % Total Pop'!$A$35:$A$39</c:f>
              <c:numCache>
                <c:formatCode>General</c:formatCode>
                <c:ptCount val="5"/>
                <c:pt idx="0">
                  <c:v>2013</c:v>
                </c:pt>
                <c:pt idx="1">
                  <c:v>2014</c:v>
                </c:pt>
                <c:pt idx="2">
                  <c:v>2015</c:v>
                </c:pt>
                <c:pt idx="3">
                  <c:v>2016</c:v>
                </c:pt>
                <c:pt idx="4">
                  <c:v>2017</c:v>
                </c:pt>
              </c:numCache>
            </c:numRef>
          </c:cat>
          <c:val>
            <c:numRef>
              <c:f>'Removals as % Total Pop'!$E$35:$E$39</c:f>
              <c:numCache>
                <c:formatCode>0.0</c:formatCode>
                <c:ptCount val="5"/>
                <c:pt idx="0">
                  <c:v>0.70598900037259327</c:v>
                </c:pt>
                <c:pt idx="1">
                  <c:v>0.59888671968026319</c:v>
                </c:pt>
                <c:pt idx="2">
                  <c:v>0.70788603218958845</c:v>
                </c:pt>
                <c:pt idx="3">
                  <c:v>0.68664644375354844</c:v>
                </c:pt>
                <c:pt idx="4">
                  <c:v>0.49783698674736732</c:v>
                </c:pt>
              </c:numCache>
            </c:numRef>
          </c:val>
          <c:extLst>
            <c:ext xmlns:c16="http://schemas.microsoft.com/office/drawing/2014/chart" uri="{C3380CC4-5D6E-409C-BE32-E72D297353CC}">
              <c16:uniqueId val="{00000003-1BBE-428D-BE9B-3C45DFC10E24}"/>
            </c:ext>
          </c:extLst>
        </c:ser>
        <c:dLbls>
          <c:showLegendKey val="0"/>
          <c:showVal val="0"/>
          <c:showCatName val="0"/>
          <c:showSerName val="0"/>
          <c:showPercent val="0"/>
          <c:showBubbleSize val="0"/>
        </c:dLbls>
        <c:gapWidth val="219"/>
        <c:axId val="174601272"/>
        <c:axId val="174601664"/>
      </c:barChart>
      <c:catAx>
        <c:axId val="174601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crossAx val="174601664"/>
        <c:crosses val="autoZero"/>
        <c:auto val="1"/>
        <c:lblAlgn val="ctr"/>
        <c:lblOffset val="100"/>
        <c:noMultiLvlLbl val="0"/>
      </c:catAx>
      <c:valAx>
        <c:axId val="174601664"/>
        <c:scaling>
          <c:orientation val="minMax"/>
        </c:scaling>
        <c:delete val="0"/>
        <c:axPos val="l"/>
        <c:majorGridlines>
          <c:spPr>
            <a:ln w="9525" cap="flat" cmpd="sng" algn="ctr">
              <a:solidFill>
                <a:schemeClr val="bg1">
                  <a:lumMod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crossAx val="174601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Tw Cen MT" panose="020B0602020104020603"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r>
              <a:rPr lang="en-US" sz="1200"/>
              <a:t>Disproportionality Ratios for Child Protective Services Removals, Compared to Confirmed Victims of Abuse/Neglect, Travis</a:t>
            </a:r>
            <a:r>
              <a:rPr lang="en-US" sz="1200" baseline="0"/>
              <a:t> County, by Fiscal Year</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8.5882417513486395E-2"/>
          <c:y val="0.35174229201123541"/>
          <c:w val="0.87760501610002928"/>
          <c:h val="0.44928420500595256"/>
        </c:manualLayout>
      </c:layout>
      <c:barChart>
        <c:barDir val="col"/>
        <c:grouping val="clustered"/>
        <c:varyColors val="0"/>
        <c:ser>
          <c:idx val="0"/>
          <c:order val="0"/>
          <c:tx>
            <c:strRef>
              <c:f>'Removals as % Confirmed Victims'!$B$28</c:f>
              <c:strCache>
                <c:ptCount val="1"/>
                <c:pt idx="0">
                  <c:v>African-American</c:v>
                </c:pt>
              </c:strCache>
            </c:strRef>
          </c:tx>
          <c:spPr>
            <a:solidFill>
              <a:schemeClr val="accent1"/>
            </a:solidFill>
            <a:ln>
              <a:noFill/>
            </a:ln>
            <a:effectLst/>
          </c:spPr>
          <c:invertIfNegative val="0"/>
          <c:cat>
            <c:numRef>
              <c:f>'Removals as % Confirmed Victims'!$A$33:$A$37</c:f>
              <c:numCache>
                <c:formatCode>General</c:formatCode>
                <c:ptCount val="5"/>
                <c:pt idx="0">
                  <c:v>2012</c:v>
                </c:pt>
                <c:pt idx="1">
                  <c:v>2013</c:v>
                </c:pt>
                <c:pt idx="2">
                  <c:v>2014</c:v>
                </c:pt>
                <c:pt idx="3">
                  <c:v>2015</c:v>
                </c:pt>
                <c:pt idx="4">
                  <c:v>2016</c:v>
                </c:pt>
              </c:numCache>
            </c:numRef>
          </c:cat>
          <c:val>
            <c:numRef>
              <c:f>'Removals as % Confirmed Victims'!$B$33:$B$37</c:f>
              <c:numCache>
                <c:formatCode>0.0</c:formatCode>
                <c:ptCount val="5"/>
                <c:pt idx="0">
                  <c:v>1.2173106646058733</c:v>
                </c:pt>
                <c:pt idx="1">
                  <c:v>1.2223190551604148</c:v>
                </c:pt>
                <c:pt idx="2">
                  <c:v>1.2430485520818326</c:v>
                </c:pt>
                <c:pt idx="3">
                  <c:v>1.4567992450971439</c:v>
                </c:pt>
                <c:pt idx="4">
                  <c:v>1.222931522197708</c:v>
                </c:pt>
              </c:numCache>
            </c:numRef>
          </c:val>
          <c:extLst>
            <c:ext xmlns:c16="http://schemas.microsoft.com/office/drawing/2014/chart" uri="{C3380CC4-5D6E-409C-BE32-E72D297353CC}">
              <c16:uniqueId val="{00000000-E1DA-464C-A6A2-C3D60BAFBCD8}"/>
            </c:ext>
          </c:extLst>
        </c:ser>
        <c:ser>
          <c:idx val="1"/>
          <c:order val="1"/>
          <c:tx>
            <c:strRef>
              <c:f>'Removals as % Confirmed Victims'!$C$28</c:f>
              <c:strCache>
                <c:ptCount val="1"/>
                <c:pt idx="0">
                  <c:v>Anglo</c:v>
                </c:pt>
              </c:strCache>
            </c:strRef>
          </c:tx>
          <c:spPr>
            <a:solidFill>
              <a:schemeClr val="accent6"/>
            </a:solidFill>
            <a:ln>
              <a:noFill/>
            </a:ln>
            <a:effectLst/>
          </c:spPr>
          <c:invertIfNegative val="0"/>
          <c:cat>
            <c:numRef>
              <c:f>'Removals as % Confirmed Victims'!$A$33:$A$37</c:f>
              <c:numCache>
                <c:formatCode>General</c:formatCode>
                <c:ptCount val="5"/>
                <c:pt idx="0">
                  <c:v>2012</c:v>
                </c:pt>
                <c:pt idx="1">
                  <c:v>2013</c:v>
                </c:pt>
                <c:pt idx="2">
                  <c:v>2014</c:v>
                </c:pt>
                <c:pt idx="3">
                  <c:v>2015</c:v>
                </c:pt>
                <c:pt idx="4">
                  <c:v>2016</c:v>
                </c:pt>
              </c:numCache>
            </c:numRef>
          </c:cat>
          <c:val>
            <c:numRef>
              <c:f>'Removals as % Confirmed Victims'!$C$33:$C$37</c:f>
              <c:numCache>
                <c:formatCode>0.0</c:formatCode>
                <c:ptCount val="5"/>
                <c:pt idx="0">
                  <c:v>1.0523613553352293</c:v>
                </c:pt>
                <c:pt idx="1">
                  <c:v>1.0651544027642199</c:v>
                </c:pt>
                <c:pt idx="2">
                  <c:v>1.0087033332467328</c:v>
                </c:pt>
                <c:pt idx="3">
                  <c:v>0.93110008070535266</c:v>
                </c:pt>
                <c:pt idx="4">
                  <c:v>1.2579417500157264</c:v>
                </c:pt>
              </c:numCache>
            </c:numRef>
          </c:val>
          <c:extLst>
            <c:ext xmlns:c16="http://schemas.microsoft.com/office/drawing/2014/chart" uri="{C3380CC4-5D6E-409C-BE32-E72D297353CC}">
              <c16:uniqueId val="{00000001-E1DA-464C-A6A2-C3D60BAFBCD8}"/>
            </c:ext>
          </c:extLst>
        </c:ser>
        <c:ser>
          <c:idx val="2"/>
          <c:order val="2"/>
          <c:tx>
            <c:strRef>
              <c:f>'Removals as % Confirmed Victims'!$D$28</c:f>
              <c:strCache>
                <c:ptCount val="1"/>
                <c:pt idx="0">
                  <c:v>Hispanic</c:v>
                </c:pt>
              </c:strCache>
            </c:strRef>
          </c:tx>
          <c:spPr>
            <a:solidFill>
              <a:schemeClr val="accent3"/>
            </a:solidFill>
            <a:ln>
              <a:noFill/>
            </a:ln>
            <a:effectLst/>
          </c:spPr>
          <c:invertIfNegative val="0"/>
          <c:cat>
            <c:numRef>
              <c:f>'Removals as % Confirmed Victims'!$A$33:$A$37</c:f>
              <c:numCache>
                <c:formatCode>General</c:formatCode>
                <c:ptCount val="5"/>
                <c:pt idx="0">
                  <c:v>2012</c:v>
                </c:pt>
                <c:pt idx="1">
                  <c:v>2013</c:v>
                </c:pt>
                <c:pt idx="2">
                  <c:v>2014</c:v>
                </c:pt>
                <c:pt idx="3">
                  <c:v>2015</c:v>
                </c:pt>
                <c:pt idx="4">
                  <c:v>2016</c:v>
                </c:pt>
              </c:numCache>
            </c:numRef>
          </c:cat>
          <c:val>
            <c:numRef>
              <c:f>'Removals as % Confirmed Victims'!$D$33:$D$37</c:f>
              <c:numCache>
                <c:formatCode>0.0</c:formatCode>
                <c:ptCount val="5"/>
                <c:pt idx="0">
                  <c:v>0.87793920659453895</c:v>
                </c:pt>
                <c:pt idx="1">
                  <c:v>0.88547104851330216</c:v>
                </c:pt>
                <c:pt idx="2">
                  <c:v>0.9153048764646281</c:v>
                </c:pt>
                <c:pt idx="3">
                  <c:v>0.84814616221820094</c:v>
                </c:pt>
                <c:pt idx="4">
                  <c:v>0.85711399487139628</c:v>
                </c:pt>
              </c:numCache>
            </c:numRef>
          </c:val>
          <c:extLst>
            <c:ext xmlns:c16="http://schemas.microsoft.com/office/drawing/2014/chart" uri="{C3380CC4-5D6E-409C-BE32-E72D297353CC}">
              <c16:uniqueId val="{00000002-E1DA-464C-A6A2-C3D60BAFBCD8}"/>
            </c:ext>
          </c:extLst>
        </c:ser>
        <c:ser>
          <c:idx val="3"/>
          <c:order val="3"/>
          <c:spPr>
            <a:solidFill>
              <a:schemeClr val="accent4"/>
            </a:solidFill>
            <a:ln>
              <a:noFill/>
            </a:ln>
            <a:effectLst/>
          </c:spPr>
          <c:invertIfNegative val="0"/>
          <c:cat>
            <c:numRef>
              <c:f>'Removals as % Confirmed Victims'!$A$33:$A$37</c:f>
              <c:numCache>
                <c:formatCode>General</c:formatCode>
                <c:ptCount val="5"/>
                <c:pt idx="0">
                  <c:v>2012</c:v>
                </c:pt>
                <c:pt idx="1">
                  <c:v>2013</c:v>
                </c:pt>
                <c:pt idx="2">
                  <c:v>2014</c:v>
                </c:pt>
                <c:pt idx="3">
                  <c:v>2015</c:v>
                </c:pt>
                <c:pt idx="4">
                  <c:v>2016</c:v>
                </c:pt>
              </c:numCache>
            </c:numRef>
          </c:cat>
          <c:val>
            <c:numRef>
              <c:f>'Removals as % Confirmed Victims'!$E$33:$E$37</c:f>
            </c:numRef>
          </c:val>
          <c:extLst>
            <c:ext xmlns:c16="http://schemas.microsoft.com/office/drawing/2014/chart" uri="{C3380CC4-5D6E-409C-BE32-E72D297353CC}">
              <c16:uniqueId val="{00000003-E1DA-464C-A6A2-C3D60BAFBCD8}"/>
            </c:ext>
          </c:extLst>
        </c:ser>
        <c:ser>
          <c:idx val="4"/>
          <c:order val="4"/>
          <c:tx>
            <c:strRef>
              <c:f>'Removals as % Confirmed Victims'!$F$28</c:f>
              <c:strCache>
                <c:ptCount val="1"/>
                <c:pt idx="0">
                  <c:v>Other</c:v>
                </c:pt>
              </c:strCache>
            </c:strRef>
          </c:tx>
          <c:spPr>
            <a:solidFill>
              <a:schemeClr val="accent4"/>
            </a:solidFill>
            <a:ln>
              <a:noFill/>
            </a:ln>
            <a:effectLst/>
          </c:spPr>
          <c:invertIfNegative val="0"/>
          <c:cat>
            <c:numRef>
              <c:f>'Removals as % Confirmed Victims'!$A$33:$A$37</c:f>
              <c:numCache>
                <c:formatCode>General</c:formatCode>
                <c:ptCount val="5"/>
                <c:pt idx="0">
                  <c:v>2012</c:v>
                </c:pt>
                <c:pt idx="1">
                  <c:v>2013</c:v>
                </c:pt>
                <c:pt idx="2">
                  <c:v>2014</c:v>
                </c:pt>
                <c:pt idx="3">
                  <c:v>2015</c:v>
                </c:pt>
                <c:pt idx="4">
                  <c:v>2016</c:v>
                </c:pt>
              </c:numCache>
            </c:numRef>
          </c:cat>
          <c:val>
            <c:numRef>
              <c:f>'Removals as % Confirmed Victims'!$F$33:$F$37</c:f>
              <c:numCache>
                <c:formatCode>0.0</c:formatCode>
                <c:ptCount val="5"/>
                <c:pt idx="0">
                  <c:v>1.3248579576376343</c:v>
                </c:pt>
                <c:pt idx="1">
                  <c:v>1.1993377333242612</c:v>
                </c:pt>
                <c:pt idx="2">
                  <c:v>1.1981962847386738</c:v>
                </c:pt>
                <c:pt idx="3">
                  <c:v>1.2199656587939642</c:v>
                </c:pt>
                <c:pt idx="4">
                  <c:v>1.0924230986978676</c:v>
                </c:pt>
              </c:numCache>
            </c:numRef>
          </c:val>
          <c:extLst>
            <c:ext xmlns:c16="http://schemas.microsoft.com/office/drawing/2014/chart" uri="{C3380CC4-5D6E-409C-BE32-E72D297353CC}">
              <c16:uniqueId val="{00000004-E1DA-464C-A6A2-C3D60BAFBCD8}"/>
            </c:ext>
          </c:extLst>
        </c:ser>
        <c:dLbls>
          <c:showLegendKey val="0"/>
          <c:showVal val="0"/>
          <c:showCatName val="0"/>
          <c:showSerName val="0"/>
          <c:showPercent val="0"/>
          <c:showBubbleSize val="0"/>
        </c:dLbls>
        <c:gapWidth val="218"/>
        <c:axId val="174602448"/>
        <c:axId val="174602840"/>
      </c:barChart>
      <c:catAx>
        <c:axId val="17460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crossAx val="174602840"/>
        <c:crosses val="autoZero"/>
        <c:auto val="1"/>
        <c:lblAlgn val="ctr"/>
        <c:lblOffset val="100"/>
        <c:noMultiLvlLbl val="0"/>
      </c:catAx>
      <c:valAx>
        <c:axId val="174602840"/>
        <c:scaling>
          <c:orientation val="minMax"/>
        </c:scaling>
        <c:delete val="0"/>
        <c:axPos val="l"/>
        <c:majorGridlines>
          <c:spPr>
            <a:ln w="9525" cap="flat" cmpd="sng" algn="ctr">
              <a:solidFill>
                <a:schemeClr val="bg1">
                  <a:lumMod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crossAx val="174602448"/>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Tw Cen MT" panose="020B0602020104020603"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422639</xdr:colOff>
      <xdr:row>2</xdr:row>
      <xdr:rowOff>159660</xdr:rowOff>
    </xdr:from>
    <xdr:to>
      <xdr:col>18</xdr:col>
      <xdr:colOff>817888</xdr:colOff>
      <xdr:row>20</xdr:row>
      <xdr:rowOff>97995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0.07272</cdr:x>
      <cdr:y>0.36703</cdr:y>
    </cdr:from>
    <cdr:to>
      <cdr:x>0.96986</cdr:x>
      <cdr:y>0.36814</cdr:y>
    </cdr:to>
    <cdr:cxnSp macro="">
      <cdr:nvCxnSpPr>
        <cdr:cNvPr id="3" name="Straight Connector 2">
          <a:extLst xmlns:a="http://schemas.openxmlformats.org/drawingml/2006/main">
            <a:ext uri="{FF2B5EF4-FFF2-40B4-BE49-F238E27FC236}">
              <a16:creationId xmlns:a16="http://schemas.microsoft.com/office/drawing/2014/main" id="{42D7D5D8-20F9-4C92-9F01-2C531B114D6B}"/>
            </a:ext>
          </a:extLst>
        </cdr:cNvPr>
        <cdr:cNvCxnSpPr/>
      </cdr:nvCxnSpPr>
      <cdr:spPr>
        <a:xfrm xmlns:a="http://schemas.openxmlformats.org/drawingml/2006/main">
          <a:off x="333427" y="1183903"/>
          <a:ext cx="4113423" cy="3581"/>
        </a:xfrm>
        <a:prstGeom xmlns:a="http://schemas.openxmlformats.org/drawingml/2006/main" prst="line">
          <a:avLst/>
        </a:prstGeom>
        <a:ln xmlns:a="http://schemas.openxmlformats.org/drawingml/2006/main" cmpd="sng">
          <a:solidFill>
            <a:schemeClr val="tx1"/>
          </a:solidFill>
          <a:prstDash val="sysDash"/>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0.07175</cdr:x>
      <cdr:y>0.55546</cdr:y>
    </cdr:from>
    <cdr:to>
      <cdr:x>0.96889</cdr:x>
      <cdr:y>0.55657</cdr:y>
    </cdr:to>
    <cdr:cxnSp macro="">
      <cdr:nvCxnSpPr>
        <cdr:cNvPr id="5" name="Straight Connector 4">
          <a:extLst xmlns:a="http://schemas.openxmlformats.org/drawingml/2006/main">
            <a:ext uri="{FF2B5EF4-FFF2-40B4-BE49-F238E27FC236}">
              <a16:creationId xmlns:a16="http://schemas.microsoft.com/office/drawing/2014/main" id="{44AB3717-F245-4B56-A48E-9543FA5D4A10}"/>
            </a:ext>
          </a:extLst>
        </cdr:cNvPr>
        <cdr:cNvCxnSpPr/>
      </cdr:nvCxnSpPr>
      <cdr:spPr>
        <a:xfrm xmlns:a="http://schemas.openxmlformats.org/drawingml/2006/main">
          <a:off x="328977" y="1791743"/>
          <a:ext cx="4113422" cy="3581"/>
        </a:xfrm>
        <a:prstGeom xmlns:a="http://schemas.openxmlformats.org/drawingml/2006/main" prst="line">
          <a:avLst/>
        </a:prstGeom>
        <a:ln xmlns:a="http://schemas.openxmlformats.org/drawingml/2006/main" cmpd="sng">
          <a:solidFill>
            <a:schemeClr val="tx1"/>
          </a:solidFill>
          <a:prstDash val="sysDash"/>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0.14487</cdr:x>
      <cdr:y>0.27568</cdr:y>
    </cdr:from>
    <cdr:to>
      <cdr:x>0.14487</cdr:x>
      <cdr:y>0.36072</cdr:y>
    </cdr:to>
    <cdr:cxnSp macro="">
      <cdr:nvCxnSpPr>
        <cdr:cNvPr id="7" name="Straight Arrow Connector 6">
          <a:extLst xmlns:a="http://schemas.openxmlformats.org/drawingml/2006/main">
            <a:ext uri="{FF2B5EF4-FFF2-40B4-BE49-F238E27FC236}">
              <a16:creationId xmlns:a16="http://schemas.microsoft.com/office/drawing/2014/main" id="{D81F8FF7-7F83-4A6C-81A8-37DC52EEACA4}"/>
            </a:ext>
          </a:extLst>
        </cdr:cNvPr>
        <cdr:cNvCxnSpPr/>
      </cdr:nvCxnSpPr>
      <cdr:spPr>
        <a:xfrm xmlns:a="http://schemas.openxmlformats.org/drawingml/2006/main" flipV="1">
          <a:off x="664243" y="889253"/>
          <a:ext cx="0" cy="274320"/>
        </a:xfrm>
        <a:prstGeom xmlns:a="http://schemas.openxmlformats.org/drawingml/2006/main" prst="straightConnector1">
          <a:avLst/>
        </a:prstGeom>
        <a:ln xmlns:a="http://schemas.openxmlformats.org/drawingml/2006/main">
          <a:solidFill>
            <a:schemeClr val="tx1"/>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0.14487</cdr:x>
      <cdr:y>0.37253</cdr:y>
    </cdr:from>
    <cdr:to>
      <cdr:x>0.14545</cdr:x>
      <cdr:y>0.5484</cdr:y>
    </cdr:to>
    <cdr:cxnSp macro="">
      <cdr:nvCxnSpPr>
        <cdr:cNvPr id="9" name="Straight Arrow Connector 8">
          <a:extLst xmlns:a="http://schemas.openxmlformats.org/drawingml/2006/main">
            <a:ext uri="{FF2B5EF4-FFF2-40B4-BE49-F238E27FC236}">
              <a16:creationId xmlns:a16="http://schemas.microsoft.com/office/drawing/2014/main" id="{0B507553-04C7-4603-9C78-25DCAAA28C59}"/>
            </a:ext>
          </a:extLst>
        </cdr:cNvPr>
        <cdr:cNvCxnSpPr/>
      </cdr:nvCxnSpPr>
      <cdr:spPr>
        <a:xfrm xmlns:a="http://schemas.openxmlformats.org/drawingml/2006/main" flipV="1">
          <a:off x="664242" y="1201674"/>
          <a:ext cx="2659" cy="567299"/>
        </a:xfrm>
        <a:prstGeom xmlns:a="http://schemas.openxmlformats.org/drawingml/2006/main" prst="straightConnector1">
          <a:avLst/>
        </a:prstGeom>
        <a:ln xmlns:a="http://schemas.openxmlformats.org/drawingml/2006/main">
          <a:solidFill>
            <a:schemeClr val="tx1"/>
          </a:solidFill>
          <a:headEnd type="triangle"/>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0.13335</cdr:x>
      <cdr:y>0.40701</cdr:y>
    </cdr:from>
    <cdr:to>
      <cdr:x>0.41199</cdr:x>
      <cdr:y>0.50509</cdr:y>
    </cdr:to>
    <cdr:sp macro="" textlink="">
      <cdr:nvSpPr>
        <cdr:cNvPr id="11" name="TextBox 1"/>
        <cdr:cNvSpPr txBox="1"/>
      </cdr:nvSpPr>
      <cdr:spPr>
        <a:xfrm xmlns:a="http://schemas.openxmlformats.org/drawingml/2006/main">
          <a:off x="611415" y="1312886"/>
          <a:ext cx="1277576" cy="316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w Cen MT" panose="020B0602020104020603" pitchFamily="34" charset="0"/>
            </a:rPr>
            <a:t>Moderate </a:t>
          </a:r>
        </a:p>
        <a:p xmlns:a="http://schemas.openxmlformats.org/drawingml/2006/main">
          <a:r>
            <a:rPr lang="en-US" sz="1100">
              <a:latin typeface="Tw Cen MT" panose="020B0602020104020603" pitchFamily="34" charset="0"/>
            </a:rPr>
            <a:t>Disproportion</a:t>
          </a:r>
        </a:p>
      </cdr:txBody>
    </cdr:sp>
  </cdr:relSizeAnchor>
  <cdr:relSizeAnchor xmlns:cdr="http://schemas.openxmlformats.org/drawingml/2006/chartDrawing">
    <cdr:from>
      <cdr:x>0.13178</cdr:x>
      <cdr:y>0.28171</cdr:y>
    </cdr:from>
    <cdr:to>
      <cdr:x>0.40262</cdr:x>
      <cdr:y>0.36941</cdr:y>
    </cdr:to>
    <cdr:sp macro="" textlink="">
      <cdr:nvSpPr>
        <cdr:cNvPr id="10" name="TextBox 9"/>
        <cdr:cNvSpPr txBox="1"/>
      </cdr:nvSpPr>
      <cdr:spPr>
        <a:xfrm xmlns:a="http://schemas.openxmlformats.org/drawingml/2006/main">
          <a:off x="604228" y="908688"/>
          <a:ext cx="1241778" cy="2829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w Cen MT" panose="020B0602020104020603" pitchFamily="34" charset="0"/>
            </a:rPr>
            <a:t>High Disproportion</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23812</xdr:colOff>
      <xdr:row>14</xdr:row>
      <xdr:rowOff>30956</xdr:rowOff>
    </xdr:from>
    <xdr:to>
      <xdr:col>16</xdr:col>
      <xdr:colOff>395287</xdr:colOff>
      <xdr:row>33</xdr:row>
      <xdr:rowOff>59531</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0.10094</cdr:x>
      <cdr:y>0.60164</cdr:y>
    </cdr:from>
    <cdr:to>
      <cdr:x>0.96651</cdr:x>
      <cdr:y>0.60164</cdr:y>
    </cdr:to>
    <cdr:cxnSp macro="">
      <cdr:nvCxnSpPr>
        <cdr:cNvPr id="3" name="Straight Connector 2">
          <a:extLst xmlns:a="http://schemas.openxmlformats.org/drawingml/2006/main">
            <a:ext uri="{FF2B5EF4-FFF2-40B4-BE49-F238E27FC236}">
              <a16:creationId xmlns:a16="http://schemas.microsoft.com/office/drawing/2014/main" id="{7DFBF566-3286-439F-8FD0-5DCD1EAC1EF2}"/>
            </a:ext>
          </a:extLst>
        </cdr:cNvPr>
        <cdr:cNvCxnSpPr/>
      </cdr:nvCxnSpPr>
      <cdr:spPr>
        <a:xfrm xmlns:a="http://schemas.openxmlformats.org/drawingml/2006/main">
          <a:off x="376471" y="1668279"/>
          <a:ext cx="3228350" cy="0"/>
        </a:xfrm>
        <a:prstGeom xmlns:a="http://schemas.openxmlformats.org/drawingml/2006/main" prst="line">
          <a:avLst/>
        </a:prstGeom>
        <a:ln xmlns:a="http://schemas.openxmlformats.org/drawingml/2006/main">
          <a:solidFill>
            <a:schemeClr val="tx1"/>
          </a:solidFill>
          <a:prstDash val="dash"/>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0.10095</cdr:x>
      <cdr:y>0.46933</cdr:y>
    </cdr:from>
    <cdr:to>
      <cdr:x>0.96652</cdr:x>
      <cdr:y>0.46933</cdr:y>
    </cdr:to>
    <cdr:cxnSp macro="">
      <cdr:nvCxnSpPr>
        <cdr:cNvPr id="4" name="Straight Connector 3">
          <a:extLst xmlns:a="http://schemas.openxmlformats.org/drawingml/2006/main">
            <a:ext uri="{FF2B5EF4-FFF2-40B4-BE49-F238E27FC236}">
              <a16:creationId xmlns:a16="http://schemas.microsoft.com/office/drawing/2014/main" id="{F31FCC36-D5BD-4814-877B-F57C1B815C30}"/>
            </a:ext>
          </a:extLst>
        </cdr:cNvPr>
        <cdr:cNvCxnSpPr/>
      </cdr:nvCxnSpPr>
      <cdr:spPr>
        <a:xfrm xmlns:a="http://schemas.openxmlformats.org/drawingml/2006/main">
          <a:off x="376523" y="1301385"/>
          <a:ext cx="3228350" cy="0"/>
        </a:xfrm>
        <a:prstGeom xmlns:a="http://schemas.openxmlformats.org/drawingml/2006/main" prst="line">
          <a:avLst/>
        </a:prstGeom>
        <a:ln xmlns:a="http://schemas.openxmlformats.org/drawingml/2006/main">
          <a:solidFill>
            <a:schemeClr val="tx1"/>
          </a:solidFill>
          <a:prstDash val="dash"/>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0.33224</cdr:x>
      <cdr:y>0.47494</cdr:y>
    </cdr:from>
    <cdr:to>
      <cdr:x>0.33224</cdr:x>
      <cdr:y>0.59461</cdr:y>
    </cdr:to>
    <cdr:cxnSp macro="">
      <cdr:nvCxnSpPr>
        <cdr:cNvPr id="6" name="Straight Arrow Connector 5">
          <a:extLst xmlns:a="http://schemas.openxmlformats.org/drawingml/2006/main">
            <a:ext uri="{FF2B5EF4-FFF2-40B4-BE49-F238E27FC236}">
              <a16:creationId xmlns:a16="http://schemas.microsoft.com/office/drawing/2014/main" id="{3695963F-F86B-4A4F-B466-A0E1886B7C60}"/>
            </a:ext>
          </a:extLst>
        </cdr:cNvPr>
        <cdr:cNvCxnSpPr/>
      </cdr:nvCxnSpPr>
      <cdr:spPr>
        <a:xfrm xmlns:a="http://schemas.openxmlformats.org/drawingml/2006/main" flipV="1">
          <a:off x="1239186" y="1316949"/>
          <a:ext cx="0" cy="331813"/>
        </a:xfrm>
        <a:prstGeom xmlns:a="http://schemas.openxmlformats.org/drawingml/2006/main" prst="straightConnector1">
          <a:avLst/>
        </a:prstGeom>
        <a:ln xmlns:a="http://schemas.openxmlformats.org/drawingml/2006/main">
          <a:solidFill>
            <a:schemeClr val="tx1"/>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0.33226</cdr:x>
      <cdr:y>0.34122</cdr:y>
    </cdr:from>
    <cdr:to>
      <cdr:x>0.33226</cdr:x>
      <cdr:y>0.46088</cdr:y>
    </cdr:to>
    <cdr:cxnSp macro="">
      <cdr:nvCxnSpPr>
        <cdr:cNvPr id="7" name="Straight Arrow Connector 6">
          <a:extLst xmlns:a="http://schemas.openxmlformats.org/drawingml/2006/main">
            <a:ext uri="{FF2B5EF4-FFF2-40B4-BE49-F238E27FC236}">
              <a16:creationId xmlns:a16="http://schemas.microsoft.com/office/drawing/2014/main" id="{007525D8-5D24-4661-9B36-BE5B6CDF31BF}"/>
            </a:ext>
          </a:extLst>
        </cdr:cNvPr>
        <cdr:cNvCxnSpPr/>
      </cdr:nvCxnSpPr>
      <cdr:spPr>
        <a:xfrm xmlns:a="http://schemas.openxmlformats.org/drawingml/2006/main" flipV="1">
          <a:off x="1239238" y="946151"/>
          <a:ext cx="0" cy="331813"/>
        </a:xfrm>
        <a:prstGeom xmlns:a="http://schemas.openxmlformats.org/drawingml/2006/main" prst="straightConnector1">
          <a:avLst/>
        </a:prstGeom>
        <a:ln xmlns:a="http://schemas.openxmlformats.org/drawingml/2006/main">
          <a:solidFill>
            <a:schemeClr val="tx1"/>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0.32282</cdr:x>
      <cdr:y>0.32571</cdr:y>
    </cdr:from>
    <cdr:to>
      <cdr:x>0.66612</cdr:x>
      <cdr:y>0.42004</cdr:y>
    </cdr:to>
    <cdr:sp macro="" textlink="">
      <cdr:nvSpPr>
        <cdr:cNvPr id="8" name="TextBox 7"/>
        <cdr:cNvSpPr txBox="1"/>
      </cdr:nvSpPr>
      <cdr:spPr>
        <a:xfrm xmlns:a="http://schemas.openxmlformats.org/drawingml/2006/main">
          <a:off x="1204053" y="903157"/>
          <a:ext cx="1280410" cy="2615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High</a:t>
          </a:r>
          <a:r>
            <a:rPr lang="en-US" sz="1100" baseline="0"/>
            <a:t> </a:t>
          </a:r>
          <a:r>
            <a:rPr lang="en-US" sz="1100"/>
            <a:t>Disproportion</a:t>
          </a:r>
        </a:p>
      </cdr:txBody>
    </cdr:sp>
  </cdr:relSizeAnchor>
  <cdr:relSizeAnchor xmlns:cdr="http://schemas.openxmlformats.org/drawingml/2006/chartDrawing">
    <cdr:from>
      <cdr:x>0.37411</cdr:x>
      <cdr:y>0.46649</cdr:y>
    </cdr:from>
    <cdr:to>
      <cdr:x>0.63785</cdr:x>
      <cdr:y>0.59601</cdr:y>
    </cdr:to>
    <cdr:sp macro="" textlink="">
      <cdr:nvSpPr>
        <cdr:cNvPr id="9" name="TextBox 1"/>
        <cdr:cNvSpPr txBox="1"/>
      </cdr:nvSpPr>
      <cdr:spPr>
        <a:xfrm xmlns:a="http://schemas.openxmlformats.org/drawingml/2006/main">
          <a:off x="1395333" y="1293526"/>
          <a:ext cx="983677" cy="359138"/>
        </a:xfrm>
        <a:prstGeom xmlns:a="http://schemas.openxmlformats.org/drawingml/2006/main" prst="rect">
          <a:avLst/>
        </a:prstGeom>
        <a:solidFill xmlns:a="http://schemas.openxmlformats.org/drawingml/2006/main">
          <a:srgbClr val="FFFFFF">
            <a:alpha val="25098"/>
          </a:srgb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Moderate Disproportion</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9525</xdr:colOff>
      <xdr:row>26</xdr:row>
      <xdr:rowOff>133350</xdr:rowOff>
    </xdr:from>
    <xdr:to>
      <xdr:col>11</xdr:col>
      <xdr:colOff>476250</xdr:colOff>
      <xdr:row>45</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0.09084</cdr:x>
      <cdr:y>0.46214</cdr:y>
    </cdr:from>
    <cdr:to>
      <cdr:x>0.95867</cdr:x>
      <cdr:y>0.46313</cdr:y>
    </cdr:to>
    <cdr:cxnSp macro="">
      <cdr:nvCxnSpPr>
        <cdr:cNvPr id="5" name="Straight Connector 4">
          <a:extLst xmlns:a="http://schemas.openxmlformats.org/drawingml/2006/main">
            <a:ext uri="{FF2B5EF4-FFF2-40B4-BE49-F238E27FC236}">
              <a16:creationId xmlns:a16="http://schemas.microsoft.com/office/drawing/2014/main" id="{EFD0CA03-C9CB-4BFC-A0D9-F78AA9327B8E}"/>
            </a:ext>
          </a:extLst>
        </cdr:cNvPr>
        <cdr:cNvCxnSpPr/>
      </cdr:nvCxnSpPr>
      <cdr:spPr>
        <a:xfrm xmlns:a="http://schemas.openxmlformats.org/drawingml/2006/main" flipV="1">
          <a:off x="346983" y="1279071"/>
          <a:ext cx="3314700" cy="2722"/>
        </a:xfrm>
        <a:prstGeom xmlns:a="http://schemas.openxmlformats.org/drawingml/2006/main" prst="line">
          <a:avLst/>
        </a:prstGeom>
        <a:ln xmlns:a="http://schemas.openxmlformats.org/drawingml/2006/main">
          <a:solidFill>
            <a:schemeClr val="tx1"/>
          </a:solidFill>
          <a:prstDash val="dash"/>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0.2932</cdr:x>
      <cdr:y>0.35398</cdr:y>
    </cdr:from>
    <cdr:to>
      <cdr:x>0.2932</cdr:x>
      <cdr:y>0.45231</cdr:y>
    </cdr:to>
    <cdr:cxnSp macro="">
      <cdr:nvCxnSpPr>
        <cdr:cNvPr id="12" name="Straight Arrow Connector 11">
          <a:extLst xmlns:a="http://schemas.openxmlformats.org/drawingml/2006/main">
            <a:ext uri="{FF2B5EF4-FFF2-40B4-BE49-F238E27FC236}">
              <a16:creationId xmlns:a16="http://schemas.microsoft.com/office/drawing/2014/main" id="{51188A0C-DB14-4DB2-B5EC-D0194D4F65F0}"/>
            </a:ext>
          </a:extLst>
        </cdr:cNvPr>
        <cdr:cNvCxnSpPr/>
      </cdr:nvCxnSpPr>
      <cdr:spPr>
        <a:xfrm xmlns:a="http://schemas.openxmlformats.org/drawingml/2006/main" flipV="1">
          <a:off x="1119868" y="979714"/>
          <a:ext cx="0" cy="272143"/>
        </a:xfrm>
        <a:prstGeom xmlns:a="http://schemas.openxmlformats.org/drawingml/2006/main" prst="straightConnector1">
          <a:avLst/>
        </a:prstGeom>
        <a:ln xmlns:a="http://schemas.openxmlformats.org/drawingml/2006/main">
          <a:solidFill>
            <a:schemeClr val="tx1"/>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0.2925</cdr:x>
      <cdr:y>0.36721</cdr:y>
    </cdr:from>
    <cdr:to>
      <cdr:x>0.74494</cdr:x>
      <cdr:y>0.45081</cdr:y>
    </cdr:to>
    <cdr:sp macro="" textlink="">
      <cdr:nvSpPr>
        <cdr:cNvPr id="13" name="TextBox 12"/>
        <cdr:cNvSpPr txBox="1"/>
      </cdr:nvSpPr>
      <cdr:spPr>
        <a:xfrm xmlns:a="http://schemas.openxmlformats.org/drawingml/2006/main">
          <a:off x="1119448" y="1017142"/>
          <a:ext cx="1731593" cy="2315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w Cen MT" panose="020B0602020104020603" pitchFamily="34" charset="0"/>
            </a:rPr>
            <a:t>Moderate Disproportion</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A3:F20" totalsRowShown="0" headerRowDxfId="24" dataDxfId="23">
  <tableColumns count="6">
    <tableColumn id="1" xr3:uid="{00000000-0010-0000-0000-000001000000}" name=" " dataDxfId="22"/>
    <tableColumn id="3" xr3:uid="{00000000-0010-0000-0000-000003000000}" name="African American#" dataDxfId="21"/>
    <tableColumn id="4" xr3:uid="{00000000-0010-0000-0000-000004000000}" name="Anglo#" dataDxfId="20"/>
    <tableColumn id="5" xr3:uid="{00000000-0010-0000-0000-000005000000}" name="Hispanic#" dataDxfId="19"/>
    <tableColumn id="7" xr3:uid="{00000000-0010-0000-0000-000007000000}" name="Other#" dataDxfId="18"/>
    <tableColumn id="2" xr3:uid="{00000000-0010-0000-0000-000002000000}" name="Total"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3:F12" totalsRowShown="0" headerRowDxfId="16" dataDxfId="15">
  <tableColumns count="6">
    <tableColumn id="1" xr3:uid="{00000000-0010-0000-0100-000001000000}" name=" " dataDxfId="14"/>
    <tableColumn id="3" xr3:uid="{00000000-0010-0000-0100-000003000000}" name="African American#" dataDxfId="13"/>
    <tableColumn id="4" xr3:uid="{00000000-0010-0000-0100-000004000000}" name="Anglo#" dataDxfId="12"/>
    <tableColumn id="5" xr3:uid="{00000000-0010-0000-0100-000005000000}" name="Hispanic#" dataDxfId="11"/>
    <tableColumn id="7" xr3:uid="{00000000-0010-0000-0100-000007000000}" name="Other#" dataDxfId="10"/>
    <tableColumn id="2" xr3:uid="{00000000-0010-0000-0100-000002000000}" name="Total" dataDxfId="9">
      <calculatedColumnFormula>SUM(Table1[[#This Row],[African American'#]:[Other'#]])</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A3:G13" totalsRowShown="0" headerRowDxfId="8" dataDxfId="7">
  <tableColumns count="7">
    <tableColumn id="1" xr3:uid="{00000000-0010-0000-0200-000001000000}" name=" " dataDxfId="6"/>
    <tableColumn id="3" xr3:uid="{00000000-0010-0000-0200-000003000000}" name="African American#" dataDxfId="5"/>
    <tableColumn id="4" xr3:uid="{00000000-0010-0000-0200-000004000000}" name="Anglo#" dataDxfId="4"/>
    <tableColumn id="5" xr3:uid="{00000000-0010-0000-0200-000005000000}" name="Hispanic#" dataDxfId="3"/>
    <tableColumn id="6" xr3:uid="{00000000-0010-0000-0200-000006000000}" name="Native American#" dataDxfId="2"/>
    <tableColumn id="7" xr3:uid="{00000000-0010-0000-0200-000007000000}" name="Other#" dataDxfId="1"/>
    <tableColumn id="2" xr3:uid="{00000000-0010-0000-0200-000002000000}" name="Total" dataDxfId="0">
      <calculatedColumnFormula>SUM(Table13[[#This Row],[African American'#]:[Other'#]])</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Dashboard">
      <a:dk1>
        <a:sysClr val="windowText" lastClr="000000"/>
      </a:dk1>
      <a:lt1>
        <a:sysClr val="window" lastClr="FFFFFF"/>
      </a:lt1>
      <a:dk2>
        <a:srgbClr val="1F497D"/>
      </a:dk2>
      <a:lt2>
        <a:srgbClr val="EEECE1"/>
      </a:lt2>
      <a:accent1>
        <a:srgbClr val="4F81BD"/>
      </a:accent1>
      <a:accent2>
        <a:srgbClr val="C0504D"/>
      </a:accent2>
      <a:accent3>
        <a:srgbClr val="72A365"/>
      </a:accent3>
      <a:accent4>
        <a:srgbClr val="8064A2"/>
      </a:accent4>
      <a:accent5>
        <a:srgbClr val="4BACC6"/>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
  <sheetViews>
    <sheetView tabSelected="1" zoomScale="130" zoomScaleNormal="130" workbookViewId="0">
      <selection activeCell="H20" sqref="H20"/>
    </sheetView>
  </sheetViews>
  <sheetFormatPr defaultColWidth="11" defaultRowHeight="15" x14ac:dyDescent="0.25"/>
  <cols>
    <col min="1" max="1" width="17.375" style="1" customWidth="1"/>
    <col min="2" max="2" width="15.75" style="2" customWidth="1"/>
    <col min="3" max="3" width="20" style="2" bestFit="1" customWidth="1"/>
    <col min="4" max="7" width="11" style="2"/>
    <col min="8" max="8" width="14.375" style="2" customWidth="1"/>
    <col min="9" max="16384" width="11" style="2"/>
  </cols>
  <sheetData>
    <row r="1" spans="1:15" x14ac:dyDescent="0.25">
      <c r="A1" s="13" t="s">
        <v>24</v>
      </c>
      <c r="B1" s="14"/>
      <c r="C1" s="14"/>
      <c r="D1" s="14"/>
      <c r="E1" s="14"/>
      <c r="F1" s="14"/>
      <c r="G1" s="14"/>
      <c r="H1" s="14"/>
      <c r="I1" s="14"/>
      <c r="J1" s="14"/>
      <c r="K1" s="14"/>
      <c r="L1" s="14"/>
      <c r="M1" s="14"/>
      <c r="N1" s="14"/>
      <c r="O1" s="14"/>
    </row>
    <row r="2" spans="1:15" x14ac:dyDescent="0.25">
      <c r="A2" s="13"/>
      <c r="B2" s="13" t="s">
        <v>27</v>
      </c>
      <c r="C2" s="13"/>
      <c r="D2" s="13"/>
      <c r="E2" s="13"/>
      <c r="F2" s="13"/>
      <c r="G2" s="13"/>
      <c r="H2" s="13" t="s">
        <v>18</v>
      </c>
      <c r="I2" s="13"/>
      <c r="J2" s="13"/>
      <c r="K2" s="13"/>
      <c r="L2" s="13"/>
      <c r="M2" s="14"/>
      <c r="N2" s="14"/>
      <c r="O2" s="14"/>
    </row>
    <row r="3" spans="1:15" x14ac:dyDescent="0.25">
      <c r="A3" s="15" t="s">
        <v>0</v>
      </c>
      <c r="B3" s="15" t="s">
        <v>5</v>
      </c>
      <c r="C3" s="15" t="s">
        <v>6</v>
      </c>
      <c r="D3" s="15" t="s">
        <v>7</v>
      </c>
      <c r="E3" s="15" t="s">
        <v>9</v>
      </c>
      <c r="F3" s="15" t="s">
        <v>19</v>
      </c>
      <c r="G3" s="13"/>
      <c r="H3" s="16" t="s">
        <v>1</v>
      </c>
      <c r="I3" s="16" t="s">
        <v>2</v>
      </c>
      <c r="J3" s="16" t="s">
        <v>3</v>
      </c>
      <c r="K3" s="16" t="s">
        <v>4</v>
      </c>
      <c r="L3" s="16" t="s">
        <v>20</v>
      </c>
      <c r="M3" s="14"/>
      <c r="N3" s="14"/>
      <c r="O3" s="14"/>
    </row>
    <row r="4" spans="1:15" ht="15.75" x14ac:dyDescent="0.25">
      <c r="A4" s="35" t="s">
        <v>40</v>
      </c>
      <c r="B4" s="17">
        <v>479</v>
      </c>
      <c r="C4" s="17">
        <v>341</v>
      </c>
      <c r="D4" s="17">
        <v>1072</v>
      </c>
      <c r="E4" s="17">
        <v>62</v>
      </c>
      <c r="F4" s="18">
        <f t="shared" ref="F4:F10" si="0">SUM(B4:E4)</f>
        <v>1954</v>
      </c>
      <c r="G4" s="14"/>
      <c r="H4" s="19">
        <v>23497</v>
      </c>
      <c r="I4" s="19">
        <v>82337</v>
      </c>
      <c r="J4" s="19">
        <v>98597</v>
      </c>
      <c r="K4" s="19">
        <v>11362</v>
      </c>
      <c r="L4" s="19">
        <v>216249</v>
      </c>
      <c r="M4" s="14">
        <f t="shared" ref="M4:M12" si="1">SUM(H4:K4)</f>
        <v>215793</v>
      </c>
      <c r="N4" s="14"/>
      <c r="O4" s="14"/>
    </row>
    <row r="5" spans="1:15" ht="15.75" x14ac:dyDescent="0.25">
      <c r="A5" s="35" t="s">
        <v>41</v>
      </c>
      <c r="B5" s="20">
        <v>493</v>
      </c>
      <c r="C5" s="20">
        <v>342</v>
      </c>
      <c r="D5" s="20">
        <v>898</v>
      </c>
      <c r="E5" s="20">
        <v>44</v>
      </c>
      <c r="F5" s="52">
        <f t="shared" si="0"/>
        <v>1777</v>
      </c>
      <c r="G5" s="14"/>
      <c r="H5" s="19">
        <v>23360</v>
      </c>
      <c r="I5" s="19">
        <v>81335</v>
      </c>
      <c r="J5" s="19">
        <v>101250</v>
      </c>
      <c r="K5" s="19">
        <v>11728</v>
      </c>
      <c r="L5" s="19">
        <v>218088</v>
      </c>
      <c r="M5" s="14">
        <f t="shared" si="1"/>
        <v>217673</v>
      </c>
      <c r="N5" s="14"/>
      <c r="O5" s="14"/>
    </row>
    <row r="6" spans="1:15" ht="15.75" x14ac:dyDescent="0.25">
      <c r="A6" s="35" t="s">
        <v>42</v>
      </c>
      <c r="B6" s="17">
        <v>408</v>
      </c>
      <c r="C6" s="17">
        <v>346</v>
      </c>
      <c r="D6" s="17">
        <v>939</v>
      </c>
      <c r="E6" s="17">
        <v>38</v>
      </c>
      <c r="F6" s="18">
        <f t="shared" si="0"/>
        <v>1731</v>
      </c>
      <c r="G6" s="14"/>
      <c r="H6" s="19">
        <v>21930</v>
      </c>
      <c r="I6" s="19">
        <v>87795</v>
      </c>
      <c r="J6" s="19">
        <v>114643</v>
      </c>
      <c r="K6" s="19">
        <v>20669</v>
      </c>
      <c r="L6" s="19">
        <v>245037</v>
      </c>
      <c r="M6" s="14">
        <f t="shared" si="1"/>
        <v>245037</v>
      </c>
      <c r="N6" s="14"/>
      <c r="O6" s="14"/>
    </row>
    <row r="7" spans="1:15" ht="15.75" x14ac:dyDescent="0.25">
      <c r="A7" s="35" t="s">
        <v>39</v>
      </c>
      <c r="B7" s="21">
        <v>641</v>
      </c>
      <c r="C7" s="21">
        <v>484</v>
      </c>
      <c r="D7" s="21">
        <v>1292</v>
      </c>
      <c r="E7" s="21">
        <f>52+13</f>
        <v>65</v>
      </c>
      <c r="F7" s="52">
        <f t="shared" si="0"/>
        <v>2482</v>
      </c>
      <c r="G7" s="14"/>
      <c r="H7" s="19">
        <v>21961</v>
      </c>
      <c r="I7" s="19">
        <v>88790</v>
      </c>
      <c r="J7" s="19">
        <v>116604</v>
      </c>
      <c r="K7" s="19">
        <v>21331</v>
      </c>
      <c r="L7" s="19">
        <v>248686</v>
      </c>
      <c r="M7" s="14">
        <f t="shared" si="1"/>
        <v>248686</v>
      </c>
      <c r="N7" s="14"/>
      <c r="O7" s="14"/>
    </row>
    <row r="8" spans="1:15" ht="15.75" x14ac:dyDescent="0.25">
      <c r="A8" s="35" t="s">
        <v>34</v>
      </c>
      <c r="B8" s="22">
        <v>595</v>
      </c>
      <c r="C8" s="22">
        <v>581</v>
      </c>
      <c r="D8" s="22">
        <v>1725</v>
      </c>
      <c r="E8" s="22">
        <f>12+130</f>
        <v>142</v>
      </c>
      <c r="F8" s="18">
        <f t="shared" si="0"/>
        <v>3043</v>
      </c>
      <c r="G8" s="14"/>
      <c r="H8" s="19">
        <v>22058</v>
      </c>
      <c r="I8" s="19">
        <v>90091</v>
      </c>
      <c r="J8" s="19">
        <v>118803</v>
      </c>
      <c r="K8" s="19">
        <v>22083</v>
      </c>
      <c r="L8" s="19">
        <v>253035</v>
      </c>
      <c r="M8" s="14">
        <f t="shared" si="1"/>
        <v>253035</v>
      </c>
      <c r="N8" s="14"/>
      <c r="O8" s="14"/>
    </row>
    <row r="9" spans="1:15" ht="15.75" x14ac:dyDescent="0.25">
      <c r="A9" s="35" t="s">
        <v>35</v>
      </c>
      <c r="B9" s="23">
        <v>501</v>
      </c>
      <c r="C9" s="23">
        <v>505</v>
      </c>
      <c r="D9" s="23">
        <v>1500</v>
      </c>
      <c r="E9" s="23">
        <f>119+19</f>
        <v>138</v>
      </c>
      <c r="F9" s="52">
        <f t="shared" si="0"/>
        <v>2644</v>
      </c>
      <c r="G9" s="14"/>
      <c r="H9" s="19">
        <v>22212</v>
      </c>
      <c r="I9" s="19">
        <v>91666</v>
      </c>
      <c r="J9" s="19">
        <v>120962</v>
      </c>
      <c r="K9" s="19">
        <v>22988</v>
      </c>
      <c r="L9" s="19">
        <v>257828</v>
      </c>
      <c r="M9" s="14">
        <f t="shared" si="1"/>
        <v>257828</v>
      </c>
      <c r="N9" s="14"/>
      <c r="O9" s="14"/>
    </row>
    <row r="10" spans="1:15" ht="15.75" x14ac:dyDescent="0.25">
      <c r="A10" s="35" t="s">
        <v>36</v>
      </c>
      <c r="B10" s="24">
        <v>352</v>
      </c>
      <c r="C10" s="24">
        <v>427</v>
      </c>
      <c r="D10" s="24">
        <v>1281</v>
      </c>
      <c r="E10" s="24">
        <f>15+82</f>
        <v>97</v>
      </c>
      <c r="F10" s="18">
        <f t="shared" si="0"/>
        <v>2157</v>
      </c>
      <c r="G10" s="14"/>
      <c r="H10" s="19">
        <v>22416</v>
      </c>
      <c r="I10" s="19">
        <v>93140</v>
      </c>
      <c r="J10" s="19">
        <v>123082</v>
      </c>
      <c r="K10" s="19">
        <v>23914</v>
      </c>
      <c r="L10" s="19">
        <v>262552</v>
      </c>
      <c r="M10" s="14">
        <f t="shared" si="1"/>
        <v>262552</v>
      </c>
      <c r="N10" s="14"/>
      <c r="O10" s="14"/>
    </row>
    <row r="11" spans="1:15" ht="15.75" x14ac:dyDescent="0.25">
      <c r="A11" s="35" t="s">
        <v>37</v>
      </c>
      <c r="B11" s="51">
        <v>489</v>
      </c>
      <c r="C11" s="51">
        <v>446</v>
      </c>
      <c r="D11" s="51">
        <v>1441</v>
      </c>
      <c r="E11" s="51">
        <f>103+16</f>
        <v>119</v>
      </c>
      <c r="F11" s="52">
        <v>2495</v>
      </c>
      <c r="G11" s="14"/>
      <c r="H11" s="26">
        <v>22587</v>
      </c>
      <c r="I11" s="26">
        <v>94715</v>
      </c>
      <c r="J11" s="26">
        <v>125213</v>
      </c>
      <c r="K11" s="26">
        <v>24817</v>
      </c>
      <c r="L11" s="26">
        <v>267332</v>
      </c>
      <c r="M11" s="14">
        <f t="shared" si="1"/>
        <v>267332</v>
      </c>
      <c r="N11" s="14"/>
      <c r="O11" s="14"/>
    </row>
    <row r="12" spans="1:15" ht="15.75" x14ac:dyDescent="0.25">
      <c r="A12" s="35" t="s">
        <v>38</v>
      </c>
      <c r="B12" s="27">
        <v>382</v>
      </c>
      <c r="C12" s="27">
        <v>336</v>
      </c>
      <c r="D12" s="27">
        <v>1275</v>
      </c>
      <c r="E12" s="27">
        <f>19+93</f>
        <v>112</v>
      </c>
      <c r="F12" s="28">
        <v>2105</v>
      </c>
      <c r="G12" s="14"/>
      <c r="H12" s="26">
        <v>22790</v>
      </c>
      <c r="I12" s="26">
        <v>96361</v>
      </c>
      <c r="J12" s="26">
        <v>127182</v>
      </c>
      <c r="K12" s="26">
        <v>25688</v>
      </c>
      <c r="L12" s="26">
        <v>272021</v>
      </c>
      <c r="M12" s="14">
        <f t="shared" si="1"/>
        <v>272021</v>
      </c>
      <c r="N12" s="14"/>
      <c r="O12" s="14"/>
    </row>
    <row r="13" spans="1:15" ht="15.75" x14ac:dyDescent="0.25">
      <c r="A13" s="35" t="s">
        <v>44</v>
      </c>
      <c r="B13" s="51">
        <v>490</v>
      </c>
      <c r="C13" s="51">
        <v>370</v>
      </c>
      <c r="D13" s="51">
        <v>1195</v>
      </c>
      <c r="E13" s="51">
        <f>22+95</f>
        <v>117</v>
      </c>
      <c r="F13" s="52">
        <v>2172</v>
      </c>
      <c r="G13" s="14"/>
      <c r="H13" s="26">
        <v>22973</v>
      </c>
      <c r="I13" s="26">
        <v>97955</v>
      </c>
      <c r="J13" s="38">
        <v>128931</v>
      </c>
      <c r="K13" s="26">
        <v>26602</v>
      </c>
      <c r="L13" s="26">
        <v>276461</v>
      </c>
      <c r="M13" s="14">
        <f>SUM(H13:K13)</f>
        <v>276461</v>
      </c>
      <c r="N13" s="14"/>
      <c r="O13" s="14"/>
    </row>
    <row r="14" spans="1:15" ht="15.75" x14ac:dyDescent="0.25">
      <c r="A14" s="35" t="s">
        <v>45</v>
      </c>
      <c r="B14" s="25">
        <v>414</v>
      </c>
      <c r="C14" s="25">
        <v>405</v>
      </c>
      <c r="D14" s="25">
        <v>1207</v>
      </c>
      <c r="E14" s="25">
        <f>84+17</f>
        <v>101</v>
      </c>
      <c r="F14" s="18">
        <v>2128</v>
      </c>
      <c r="G14" s="14"/>
      <c r="H14" s="26">
        <v>23140</v>
      </c>
      <c r="I14" s="26">
        <v>99365</v>
      </c>
      <c r="J14" s="38">
        <v>130284</v>
      </c>
      <c r="K14" s="26">
        <v>27489</v>
      </c>
      <c r="L14" s="26">
        <v>280278</v>
      </c>
      <c r="M14" s="14">
        <f t="shared" ref="M14:M15" si="2">SUM(H14:K14)</f>
        <v>280278</v>
      </c>
      <c r="N14" s="14"/>
      <c r="O14" s="14"/>
    </row>
    <row r="15" spans="1:15" ht="15.75" x14ac:dyDescent="0.25">
      <c r="A15" s="46" t="s">
        <v>47</v>
      </c>
      <c r="B15" s="44">
        <v>494</v>
      </c>
      <c r="C15" s="44">
        <v>381</v>
      </c>
      <c r="D15" s="44">
        <v>1288</v>
      </c>
      <c r="E15" s="44">
        <f>132+13</f>
        <v>145</v>
      </c>
      <c r="F15" s="53">
        <v>2310</v>
      </c>
      <c r="G15" s="14"/>
      <c r="H15" s="26">
        <v>23329</v>
      </c>
      <c r="I15" s="26">
        <v>100703</v>
      </c>
      <c r="J15" s="38">
        <v>131644</v>
      </c>
      <c r="K15" s="26">
        <v>28265</v>
      </c>
      <c r="L15" s="26">
        <v>283941</v>
      </c>
      <c r="M15" s="14">
        <f t="shared" si="2"/>
        <v>283941</v>
      </c>
      <c r="N15" s="14"/>
      <c r="O15" s="14"/>
    </row>
    <row r="16" spans="1:15" ht="15.75" x14ac:dyDescent="0.25">
      <c r="A16" s="47" t="s">
        <v>48</v>
      </c>
      <c r="B16" s="44">
        <v>508</v>
      </c>
      <c r="C16" s="44">
        <v>363</v>
      </c>
      <c r="D16" s="44">
        <v>1377</v>
      </c>
      <c r="E16" s="44">
        <f>((F16)-(SUM(B16,C16,D16)))</f>
        <v>143</v>
      </c>
      <c r="F16" s="45">
        <v>2391</v>
      </c>
      <c r="G16" s="14"/>
      <c r="H16" s="26">
        <v>23520</v>
      </c>
      <c r="I16" s="26">
        <v>101824</v>
      </c>
      <c r="J16" s="38">
        <v>132998</v>
      </c>
      <c r="K16" s="26">
        <v>29013</v>
      </c>
      <c r="L16" s="26">
        <v>287355</v>
      </c>
      <c r="M16" s="14">
        <f>SUM(H16:L16)</f>
        <v>574710</v>
      </c>
      <c r="N16" s="14"/>
      <c r="O16" s="14"/>
    </row>
    <row r="17" spans="1:15" ht="15.75" x14ac:dyDescent="0.25">
      <c r="A17" s="46" t="s">
        <v>49</v>
      </c>
      <c r="B17" s="44">
        <v>422</v>
      </c>
      <c r="C17" s="44">
        <v>274</v>
      </c>
      <c r="D17" s="44">
        <v>1186</v>
      </c>
      <c r="E17" s="44">
        <f>((F17)-(SUM(B17,C17,D17)))</f>
        <v>106</v>
      </c>
      <c r="F17" s="53">
        <v>1988</v>
      </c>
      <c r="G17" s="14"/>
      <c r="H17" s="26">
        <v>23791</v>
      </c>
      <c r="I17" s="26">
        <v>102667</v>
      </c>
      <c r="J17" s="38">
        <v>134264</v>
      </c>
      <c r="K17" s="26">
        <v>29667</v>
      </c>
      <c r="L17" s="26">
        <v>290389</v>
      </c>
      <c r="M17" s="14">
        <f t="shared" ref="M17" si="3">SUM(H17:K17)</f>
        <v>290389</v>
      </c>
      <c r="N17" s="14"/>
      <c r="O17" s="14"/>
    </row>
    <row r="18" spans="1:15" ht="15.75" x14ac:dyDescent="0.25">
      <c r="A18" s="46" t="s">
        <v>50</v>
      </c>
      <c r="B18" s="44">
        <v>332</v>
      </c>
      <c r="C18" s="44">
        <v>248</v>
      </c>
      <c r="D18" s="44">
        <v>949</v>
      </c>
      <c r="E18" s="44">
        <v>76</v>
      </c>
      <c r="F18" s="45">
        <v>1622</v>
      </c>
      <c r="G18" s="14"/>
      <c r="H18" s="26">
        <v>24078</v>
      </c>
      <c r="I18" s="38">
        <v>103462</v>
      </c>
      <c r="J18" s="38">
        <v>135562</v>
      </c>
      <c r="K18" s="26">
        <v>30245</v>
      </c>
      <c r="L18" s="38">
        <v>293347</v>
      </c>
      <c r="M18" s="14">
        <f t="shared" ref="M18" si="4">SUM(H18:K18)</f>
        <v>293347</v>
      </c>
      <c r="N18" s="14"/>
      <c r="O18" s="14"/>
    </row>
    <row r="19" spans="1:15" ht="15.75" x14ac:dyDescent="0.25">
      <c r="A19" s="46" t="s">
        <v>51</v>
      </c>
      <c r="B19" s="44">
        <v>394</v>
      </c>
      <c r="C19" s="44">
        <v>254</v>
      </c>
      <c r="D19" s="44">
        <v>1054</v>
      </c>
      <c r="E19" s="44">
        <v>87</v>
      </c>
      <c r="F19" s="53">
        <v>1808</v>
      </c>
      <c r="G19" s="14"/>
      <c r="H19" s="38">
        <v>24298</v>
      </c>
      <c r="I19" s="38">
        <v>104238</v>
      </c>
      <c r="J19" s="38">
        <v>136739</v>
      </c>
      <c r="K19" s="38">
        <v>30677</v>
      </c>
      <c r="L19" s="38">
        <v>295952</v>
      </c>
      <c r="M19" s="54">
        <f>SUM(H19:K19)</f>
        <v>295952</v>
      </c>
      <c r="N19" s="14"/>
      <c r="O19" s="14"/>
    </row>
    <row r="20" spans="1:15" ht="15.75" x14ac:dyDescent="0.25">
      <c r="A20" s="46" t="s">
        <v>53</v>
      </c>
      <c r="B20" s="55">
        <v>335</v>
      </c>
      <c r="C20" s="55">
        <v>229</v>
      </c>
      <c r="D20" s="55">
        <v>1130</v>
      </c>
      <c r="E20" s="55">
        <f>SUM(16,75)</f>
        <v>91</v>
      </c>
      <c r="F20" s="45">
        <v>1787</v>
      </c>
      <c r="G20" s="14"/>
      <c r="H20" s="38">
        <v>24489</v>
      </c>
      <c r="I20" s="38">
        <v>104697</v>
      </c>
      <c r="J20" s="38">
        <v>137982</v>
      </c>
      <c r="K20" s="38">
        <v>31116</v>
      </c>
      <c r="L20" s="38">
        <v>298284</v>
      </c>
      <c r="M20" s="54">
        <f>SUM(H20:K20)</f>
        <v>298284</v>
      </c>
      <c r="N20" s="14"/>
      <c r="O20" s="14"/>
    </row>
    <row r="21" spans="1:15" ht="15.75" x14ac:dyDescent="0.25">
      <c r="A21" s="13"/>
      <c r="B21" s="14"/>
      <c r="C21" s="14"/>
      <c r="D21" s="14"/>
      <c r="E21" s="14"/>
      <c r="F21" s="14"/>
      <c r="G21" s="14"/>
      <c r="H21" s="29"/>
      <c r="I21" s="29"/>
      <c r="J21" s="29"/>
      <c r="K21" s="29"/>
      <c r="L21" s="29"/>
      <c r="M21" s="14"/>
      <c r="N21" s="14"/>
      <c r="O21" s="14"/>
    </row>
    <row r="22" spans="1:15" ht="15.75" x14ac:dyDescent="0.25">
      <c r="A22" s="13"/>
      <c r="B22" s="14"/>
      <c r="C22" s="14"/>
      <c r="D22" s="14"/>
      <c r="E22" s="14"/>
      <c r="F22" s="14"/>
      <c r="G22" s="14"/>
      <c r="H22" s="29"/>
      <c r="I22" s="29"/>
      <c r="J22" s="29"/>
      <c r="K22" s="29"/>
      <c r="L22" s="29"/>
      <c r="M22" s="14"/>
      <c r="N22" s="14"/>
      <c r="O22" s="14"/>
    </row>
    <row r="23" spans="1:15" x14ac:dyDescent="0.25">
      <c r="A23" s="13"/>
      <c r="B23" s="13" t="s">
        <v>27</v>
      </c>
      <c r="C23" s="13"/>
      <c r="D23" s="13"/>
      <c r="E23" s="13"/>
      <c r="F23" s="14"/>
      <c r="G23" s="14"/>
      <c r="H23" s="13" t="s">
        <v>18</v>
      </c>
      <c r="I23" s="13"/>
      <c r="J23" s="13"/>
      <c r="K23" s="13"/>
      <c r="L23" s="14"/>
      <c r="M23" s="14"/>
      <c r="N23" s="14"/>
      <c r="O23" s="14"/>
    </row>
    <row r="24" spans="1:15" x14ac:dyDescent="0.25">
      <c r="A24" s="16"/>
      <c r="B24" s="16" t="s">
        <v>15</v>
      </c>
      <c r="C24" s="16" t="s">
        <v>16</v>
      </c>
      <c r="D24" s="16" t="s">
        <v>12</v>
      </c>
      <c r="E24" s="16" t="s">
        <v>14</v>
      </c>
      <c r="F24" s="14"/>
      <c r="G24" s="14"/>
      <c r="H24" s="16" t="s">
        <v>15</v>
      </c>
      <c r="I24" s="16" t="s">
        <v>16</v>
      </c>
      <c r="J24" s="16" t="s">
        <v>12</v>
      </c>
      <c r="K24" s="16" t="s">
        <v>14</v>
      </c>
      <c r="L24" s="14"/>
      <c r="M24" s="14"/>
      <c r="N24" s="14"/>
      <c r="O24" s="14"/>
    </row>
    <row r="25" spans="1:15" x14ac:dyDescent="0.25">
      <c r="A25" s="35" t="s">
        <v>40</v>
      </c>
      <c r="B25" s="30">
        <f>B4/$F$4</f>
        <v>0.24513817809621288</v>
      </c>
      <c r="C25" s="30">
        <f>C4/$F$4</f>
        <v>0.1745138178096213</v>
      </c>
      <c r="D25" s="30">
        <f>D4/$F$4</f>
        <v>0.548618219037871</v>
      </c>
      <c r="E25" s="30">
        <f>E4/$F$4</f>
        <v>3.1729785056294778E-2</v>
      </c>
      <c r="F25" s="31"/>
      <c r="G25" s="31"/>
      <c r="H25" s="30">
        <v>0.10865714985965252</v>
      </c>
      <c r="I25" s="30">
        <v>0.38075089364575099</v>
      </c>
      <c r="J25" s="30">
        <v>0.45594199279534242</v>
      </c>
      <c r="K25" s="30">
        <v>5.2541283427900244E-2</v>
      </c>
      <c r="L25" s="14"/>
      <c r="M25" s="14"/>
      <c r="N25" s="14"/>
      <c r="O25" s="14"/>
    </row>
    <row r="26" spans="1:15" x14ac:dyDescent="0.25">
      <c r="A26" s="35" t="s">
        <v>41</v>
      </c>
      <c r="B26" s="30">
        <f>B5/$F$5</f>
        <v>0.27743387732132807</v>
      </c>
      <c r="C26" s="30">
        <f>C5/$F$5</f>
        <v>0.19245920090039392</v>
      </c>
      <c r="D26" s="30">
        <f>D5/$F$5</f>
        <v>0.50534608891389987</v>
      </c>
      <c r="E26" s="30">
        <f>E5/$F$5</f>
        <v>2.4760832864378166E-2</v>
      </c>
      <c r="F26" s="31"/>
      <c r="G26" s="31"/>
      <c r="H26" s="30">
        <v>0.10711272513847621</v>
      </c>
      <c r="I26" s="30">
        <v>0.3729457833535087</v>
      </c>
      <c r="J26" s="30">
        <v>0.46426213271706834</v>
      </c>
      <c r="K26" s="30">
        <v>5.3776457209933605E-2</v>
      </c>
      <c r="L26" s="14"/>
      <c r="M26" s="14"/>
      <c r="N26" s="14"/>
      <c r="O26" s="14"/>
    </row>
    <row r="27" spans="1:15" x14ac:dyDescent="0.25">
      <c r="A27" s="35" t="s">
        <v>42</v>
      </c>
      <c r="B27" s="30">
        <f>B6/$F$6</f>
        <v>0.23570190641247835</v>
      </c>
      <c r="C27" s="30">
        <f>C6/$F$6</f>
        <v>0.1998844598497978</v>
      </c>
      <c r="D27" s="30">
        <f>D6/$F$6</f>
        <v>0.54246100519930673</v>
      </c>
      <c r="E27" s="30">
        <f>E6/$F$6</f>
        <v>2.1952628538417101E-2</v>
      </c>
      <c r="F27" s="31"/>
      <c r="G27" s="31"/>
      <c r="H27" s="30">
        <v>0.11130969556285772</v>
      </c>
      <c r="I27" s="30">
        <v>0.36659933935977329</v>
      </c>
      <c r="J27" s="30">
        <v>0.46541974771639844</v>
      </c>
      <c r="K27" s="30">
        <v>5.4733224518624113E-2</v>
      </c>
      <c r="L27" s="14"/>
      <c r="M27" s="14"/>
      <c r="N27" s="14"/>
      <c r="O27" s="14"/>
    </row>
    <row r="28" spans="1:15" x14ac:dyDescent="0.25">
      <c r="A28" s="35" t="s">
        <v>39</v>
      </c>
      <c r="B28" s="30">
        <f>B7/$F$7</f>
        <v>0.25825946817082995</v>
      </c>
      <c r="C28" s="30">
        <f>C7/$F$7</f>
        <v>0.19500402900886382</v>
      </c>
      <c r="D28" s="30">
        <f>D7/$F$7</f>
        <v>0.52054794520547942</v>
      </c>
      <c r="E28" s="30">
        <f>E7/$F$7</f>
        <v>2.6188557614826753E-2</v>
      </c>
      <c r="F28" s="31"/>
      <c r="G28" s="31"/>
      <c r="H28" s="30">
        <v>0.1103908233356258</v>
      </c>
      <c r="I28" s="30">
        <v>0.35916605109656385</v>
      </c>
      <c r="J28" s="30">
        <v>0.47274510303369927</v>
      </c>
      <c r="K28" s="30">
        <v>5.6318296441580276E-2</v>
      </c>
      <c r="L28" s="14"/>
      <c r="M28" s="14"/>
      <c r="N28" s="14"/>
      <c r="O28" s="14"/>
    </row>
    <row r="29" spans="1:15" x14ac:dyDescent="0.25">
      <c r="A29" s="35" t="s">
        <v>34</v>
      </c>
      <c r="B29" s="30">
        <f>B8/$F$8</f>
        <v>0.19553072625698323</v>
      </c>
      <c r="C29" s="30">
        <f>C8/$F$8</f>
        <v>0.19093000328623069</v>
      </c>
      <c r="D29" s="30">
        <f>D8/$F$8</f>
        <v>0.56687479461058166</v>
      </c>
      <c r="E29" s="30">
        <f>E8/$F$8</f>
        <v>4.6664475846204402E-2</v>
      </c>
      <c r="F29" s="31"/>
      <c r="G29" s="31"/>
      <c r="H29" s="30">
        <v>8.4137659449609284E-2</v>
      </c>
      <c r="I29" s="30">
        <v>0.35831763288754365</v>
      </c>
      <c r="J29" s="30">
        <v>0.47005590388238566</v>
      </c>
      <c r="K29" s="30">
        <v>8.5396268956357907E-2</v>
      </c>
      <c r="L29" s="14"/>
      <c r="M29" s="14"/>
      <c r="N29" s="14"/>
      <c r="O29" s="14"/>
    </row>
    <row r="30" spans="1:15" x14ac:dyDescent="0.25">
      <c r="A30" s="35" t="s">
        <v>35</v>
      </c>
      <c r="B30" s="30">
        <f>B9/$F$9</f>
        <v>0.18948562783661119</v>
      </c>
      <c r="C30" s="30">
        <f>C9/$F$9</f>
        <v>0.19099848714069592</v>
      </c>
      <c r="D30" s="30">
        <f>D9/$F$9</f>
        <v>0.56732223903177004</v>
      </c>
      <c r="E30" s="30">
        <f>E9/$F$9</f>
        <v>5.2193645990922848E-2</v>
      </c>
      <c r="F30" s="31"/>
      <c r="G30" s="31"/>
      <c r="H30" s="30">
        <v>8.1748222375566296E-2</v>
      </c>
      <c r="I30" s="30">
        <v>0.35895637694638627</v>
      </c>
      <c r="J30" s="30">
        <v>0.47039542767993758</v>
      </c>
      <c r="K30" s="30">
        <v>8.6773574150190519E-2</v>
      </c>
      <c r="L30" s="14"/>
      <c r="M30" s="14"/>
      <c r="N30" s="14"/>
      <c r="O30" s="14"/>
    </row>
    <row r="31" spans="1:15" x14ac:dyDescent="0.25">
      <c r="A31" s="35" t="s">
        <v>36</v>
      </c>
      <c r="B31" s="30">
        <f>B10/$F$10</f>
        <v>0.16318961520630507</v>
      </c>
      <c r="C31" s="30">
        <f>C10/$F$10</f>
        <v>0.1979601298099212</v>
      </c>
      <c r="D31" s="30">
        <f>D10/$F$10</f>
        <v>0.59388038942976351</v>
      </c>
      <c r="E31" s="30">
        <f>E10/$F$10</f>
        <v>4.4969865554010197E-2</v>
      </c>
      <c r="F31" s="14"/>
      <c r="G31" s="14"/>
      <c r="H31" s="30">
        <v>7.9601518372526353E-2</v>
      </c>
      <c r="I31" s="30">
        <v>0.3594065074150109</v>
      </c>
      <c r="J31" s="30">
        <v>0.47051316178106117</v>
      </c>
      <c r="K31" s="30">
        <v>8.8312834331846807E-2</v>
      </c>
      <c r="L31" s="14"/>
      <c r="M31" s="14"/>
      <c r="N31" s="14"/>
      <c r="O31" s="14"/>
    </row>
    <row r="32" spans="1:15" x14ac:dyDescent="0.25">
      <c r="A32" s="35" t="s">
        <v>37</v>
      </c>
      <c r="B32" s="30">
        <f>B11/$F$11</f>
        <v>0.19599198396793588</v>
      </c>
      <c r="C32" s="30">
        <f>C11/$F$11</f>
        <v>0.17875751503006013</v>
      </c>
      <c r="D32" s="30">
        <f>D11/$F$11</f>
        <v>0.57755511022044093</v>
      </c>
      <c r="E32" s="30">
        <f>E11/$F$11</f>
        <v>4.7695390781563124E-2</v>
      </c>
      <c r="F32" s="14"/>
      <c r="G32" s="14"/>
      <c r="H32" s="30">
        <f>H11/$L$11</f>
        <v>8.4490446336390704E-2</v>
      </c>
      <c r="I32" s="30">
        <f>I11/$L$11</f>
        <v>0.35429727829066482</v>
      </c>
      <c r="J32" s="30">
        <f>J11/$L$11</f>
        <v>0.46838014154684066</v>
      </c>
      <c r="K32" s="30">
        <f>K11/$L$11</f>
        <v>9.2832133826103877E-2</v>
      </c>
      <c r="L32" s="14"/>
      <c r="M32" s="14"/>
      <c r="N32" s="14"/>
      <c r="O32" s="14"/>
    </row>
    <row r="33" spans="1:15" x14ac:dyDescent="0.25">
      <c r="A33" s="35" t="s">
        <v>38</v>
      </c>
      <c r="B33" s="30">
        <f>B12/$F$12</f>
        <v>0.18147268408551068</v>
      </c>
      <c r="C33" s="30">
        <f>C12/$F$12</f>
        <v>0.15961995249406175</v>
      </c>
      <c r="D33" s="30">
        <f>D12/$F$12</f>
        <v>0.60570071258907365</v>
      </c>
      <c r="E33" s="30">
        <f>E12/$F$12</f>
        <v>5.3206650831353917E-2</v>
      </c>
      <c r="F33" s="14"/>
      <c r="G33" s="14"/>
      <c r="H33" s="30">
        <f>H12/$L$12</f>
        <v>8.3780296374176999E-2</v>
      </c>
      <c r="I33" s="30">
        <f>I12/$L$12</f>
        <v>0.35424103286143349</v>
      </c>
      <c r="J33" s="30">
        <f>J12/$L$12</f>
        <v>0.46754478514526454</v>
      </c>
      <c r="K33" s="30">
        <f>K12/$L$12</f>
        <v>9.4433885619124996E-2</v>
      </c>
      <c r="L33" s="14"/>
      <c r="M33" s="14"/>
      <c r="N33" s="14"/>
      <c r="O33" s="14"/>
    </row>
    <row r="34" spans="1:15" x14ac:dyDescent="0.25">
      <c r="A34" s="35" t="s">
        <v>44</v>
      </c>
      <c r="B34" s="30">
        <f>B13/$F$13</f>
        <v>0.22559852670349909</v>
      </c>
      <c r="C34" s="30">
        <f>C13/$F$13</f>
        <v>0.1703499079189687</v>
      </c>
      <c r="D34" s="30">
        <f>D13/$F$13</f>
        <v>0.55018416206261511</v>
      </c>
      <c r="E34" s="30">
        <f>E13/$F$13</f>
        <v>5.3867403314917128E-2</v>
      </c>
      <c r="F34" s="14"/>
      <c r="G34" s="14"/>
      <c r="H34" s="30">
        <f t="shared" ref="H34:K37" si="5">H13/$L$13</f>
        <v>8.3096711651914734E-2</v>
      </c>
      <c r="I34" s="30">
        <f t="shared" si="5"/>
        <v>0.35431760718510025</v>
      </c>
      <c r="J34" s="30">
        <f t="shared" si="5"/>
        <v>0.46636234405576193</v>
      </c>
      <c r="K34" s="30">
        <f t="shared" si="5"/>
        <v>9.6223337107223084E-2</v>
      </c>
      <c r="L34" s="14"/>
      <c r="M34" s="14"/>
      <c r="N34" s="14"/>
      <c r="O34" s="14"/>
    </row>
    <row r="35" spans="1:15" x14ac:dyDescent="0.25">
      <c r="A35" s="35" t="s">
        <v>45</v>
      </c>
      <c r="B35" s="30">
        <f>B14/$F$14</f>
        <v>0.19454887218045114</v>
      </c>
      <c r="C35" s="30">
        <f>C14/$F$14</f>
        <v>0.19031954887218044</v>
      </c>
      <c r="D35" s="30">
        <f>D14/$F$14</f>
        <v>0.56719924812030076</v>
      </c>
      <c r="E35" s="30">
        <f>E14/$F$14</f>
        <v>4.7462406015037595E-2</v>
      </c>
      <c r="F35" s="14"/>
      <c r="G35" s="14"/>
      <c r="H35" s="30">
        <f t="shared" si="5"/>
        <v>8.3700775154542592E-2</v>
      </c>
      <c r="I35" s="30">
        <f t="shared" si="5"/>
        <v>0.359417784063575</v>
      </c>
      <c r="J35" s="30">
        <f t="shared" si="5"/>
        <v>0.47125634357106427</v>
      </c>
      <c r="K35" s="30">
        <f t="shared" si="5"/>
        <v>9.9431746249923139E-2</v>
      </c>
      <c r="L35" s="14"/>
      <c r="M35" s="14"/>
      <c r="N35" s="14"/>
      <c r="O35" s="14"/>
    </row>
    <row r="36" spans="1:15" x14ac:dyDescent="0.25">
      <c r="A36" s="35" t="s">
        <v>47</v>
      </c>
      <c r="B36" s="30">
        <f>B15/$F$15</f>
        <v>0.21385281385281385</v>
      </c>
      <c r="C36" s="30">
        <f>C15/$F$15</f>
        <v>0.16493506493506493</v>
      </c>
      <c r="D36" s="30">
        <f>D15/$F$15</f>
        <v>0.55757575757575761</v>
      </c>
      <c r="E36" s="30">
        <f>E15/$F$15</f>
        <v>6.2770562770562768E-2</v>
      </c>
      <c r="F36" s="14"/>
      <c r="G36" s="14"/>
      <c r="H36" s="30">
        <f t="shared" si="5"/>
        <v>8.4384415885061542E-2</v>
      </c>
      <c r="I36" s="30">
        <f t="shared" si="5"/>
        <v>0.36425752637804248</v>
      </c>
      <c r="J36" s="30">
        <f t="shared" si="5"/>
        <v>0.47617566311342285</v>
      </c>
      <c r="K36" s="30">
        <f t="shared" si="5"/>
        <v>0.10223865210644539</v>
      </c>
      <c r="L36" s="14"/>
      <c r="M36" s="14"/>
      <c r="N36" s="14"/>
      <c r="O36" s="14"/>
    </row>
    <row r="37" spans="1:15" x14ac:dyDescent="0.25">
      <c r="A37" s="35" t="s">
        <v>48</v>
      </c>
      <c r="B37" s="30">
        <f>B16/$F$16</f>
        <v>0.21246340443329151</v>
      </c>
      <c r="C37" s="30">
        <f>C16/$F$16</f>
        <v>0.15181932245922208</v>
      </c>
      <c r="D37" s="30">
        <f>D16/$F$16</f>
        <v>0.57590966122961107</v>
      </c>
      <c r="E37" s="30">
        <f>E16/$F$16</f>
        <v>5.9807611877875366E-2</v>
      </c>
      <c r="F37" s="14"/>
      <c r="G37" s="14"/>
      <c r="H37" s="30">
        <f t="shared" si="5"/>
        <v>8.5075290909025145E-2</v>
      </c>
      <c r="I37" s="30">
        <f t="shared" si="5"/>
        <v>0.36831234785376599</v>
      </c>
      <c r="J37" s="30">
        <f t="shared" si="5"/>
        <v>0.4810732797754475</v>
      </c>
      <c r="K37" s="30">
        <f t="shared" si="5"/>
        <v>0.10494427785474263</v>
      </c>
      <c r="L37" s="14"/>
      <c r="M37" s="14"/>
      <c r="N37" s="14"/>
      <c r="O37" s="14"/>
    </row>
    <row r="38" spans="1:15" x14ac:dyDescent="0.25">
      <c r="A38" s="35" t="s">
        <v>49</v>
      </c>
      <c r="B38" s="30">
        <f>B17/$F$17</f>
        <v>0.21227364185110664</v>
      </c>
      <c r="C38" s="30">
        <f>C17/$F$17</f>
        <v>0.13782696177062373</v>
      </c>
      <c r="D38" s="30">
        <f>D17/$F$17</f>
        <v>0.59657947686116697</v>
      </c>
      <c r="E38" s="30">
        <f>E17/$F$17</f>
        <v>5.3319919517102618E-2</v>
      </c>
      <c r="F38" s="14"/>
      <c r="G38" s="14"/>
      <c r="H38" s="56">
        <f>H17/$L$17</f>
        <v>8.1928034464115382E-2</v>
      </c>
      <c r="I38" s="30">
        <f>I17/$L$17</f>
        <v>0.35354989341882787</v>
      </c>
      <c r="J38" s="30">
        <f>J17/$L$17</f>
        <v>0.46235911139884778</v>
      </c>
      <c r="K38" s="30">
        <f>K17/$L$17</f>
        <v>0.10216296071820902</v>
      </c>
      <c r="L38" s="14"/>
      <c r="M38" s="14"/>
      <c r="N38" s="14"/>
      <c r="O38" s="14"/>
    </row>
    <row r="39" spans="1:15" x14ac:dyDescent="0.25">
      <c r="A39" s="35" t="s">
        <v>50</v>
      </c>
      <c r="B39" s="30">
        <f>B18/$F$18</f>
        <v>0.20468557336621454</v>
      </c>
      <c r="C39" s="30">
        <f>C18/$F$18</f>
        <v>0.15289765721331688</v>
      </c>
      <c r="D39" s="30">
        <f>D18/$F$18</f>
        <v>0.5850801479654747</v>
      </c>
      <c r="E39" s="30">
        <f>E18/$F$18</f>
        <v>4.6855733662145502E-2</v>
      </c>
      <c r="F39" s="14"/>
      <c r="G39" s="14"/>
      <c r="H39" s="56">
        <f>H18/$L$18</f>
        <v>8.2080266714846237E-2</v>
      </c>
      <c r="I39" s="30">
        <f>I18/$L$18</f>
        <v>0.35269493125888451</v>
      </c>
      <c r="J39" s="30">
        <f>J18/$L$18</f>
        <v>0.46212165115034415</v>
      </c>
      <c r="K39" s="30">
        <f>K18/$L$18</f>
        <v>0.1031031508759251</v>
      </c>
      <c r="L39" s="14"/>
      <c r="M39" s="14"/>
      <c r="N39" s="14"/>
      <c r="O39" s="14"/>
    </row>
    <row r="40" spans="1:15" x14ac:dyDescent="0.25">
      <c r="A40" s="35" t="s">
        <v>51</v>
      </c>
      <c r="B40" s="30">
        <f>B19/$F$19</f>
        <v>0.21792035398230089</v>
      </c>
      <c r="C40" s="30">
        <f>C19/$F$19</f>
        <v>0.14048672566371681</v>
      </c>
      <c r="D40" s="30">
        <f>D19/$F$19</f>
        <v>0.58296460176991149</v>
      </c>
      <c r="E40" s="30">
        <f>E19/$F$19</f>
        <v>4.8119469026548671E-2</v>
      </c>
      <c r="F40" s="14"/>
      <c r="G40" s="14"/>
      <c r="H40" s="56">
        <f>H19/$L$19</f>
        <v>8.2101151538087253E-2</v>
      </c>
      <c r="I40" s="30">
        <f>I19/$L$19</f>
        <v>0.35221252094934313</v>
      </c>
      <c r="J40" s="30">
        <f>J19/$L$19</f>
        <v>0.46203100502784233</v>
      </c>
      <c r="K40" s="30">
        <f>K19/$L$19</f>
        <v>0.10365532248472725</v>
      </c>
      <c r="L40" s="14"/>
      <c r="M40" s="14"/>
      <c r="N40" s="14"/>
      <c r="O40" s="14"/>
    </row>
    <row r="41" spans="1:15" x14ac:dyDescent="0.25">
      <c r="A41" s="35" t="s">
        <v>53</v>
      </c>
      <c r="B41" s="30">
        <f>B20/$F$20</f>
        <v>0.18746502518186905</v>
      </c>
      <c r="C41" s="30">
        <f>C20/$F$20</f>
        <v>0.12814773363178511</v>
      </c>
      <c r="D41" s="30">
        <f>D20/$F$20</f>
        <v>0.63234471180749863</v>
      </c>
      <c r="E41" s="30">
        <f>E20/$F$20</f>
        <v>5.0923335198656966E-2</v>
      </c>
      <c r="F41" s="14"/>
      <c r="G41" s="14"/>
      <c r="H41" s="56">
        <f>H20/$L$20</f>
        <v>8.2099609767872228E-2</v>
      </c>
      <c r="I41" s="30">
        <f>I20/$L$20</f>
        <v>0.3509977068833729</v>
      </c>
      <c r="J41" s="30">
        <f>J20/$L$20</f>
        <v>0.46258599187351651</v>
      </c>
      <c r="K41" s="30">
        <f>K20/$L$20</f>
        <v>0.10431669147523837</v>
      </c>
      <c r="L41" s="14"/>
      <c r="M41" s="14"/>
      <c r="N41" s="14"/>
      <c r="O41" s="14"/>
    </row>
    <row r="42" spans="1:15" x14ac:dyDescent="0.25">
      <c r="A42" s="42"/>
      <c r="B42" s="48"/>
      <c r="C42" s="48"/>
      <c r="D42" s="48"/>
      <c r="E42" s="48"/>
      <c r="F42" s="14"/>
      <c r="G42" s="14"/>
      <c r="H42" s="48"/>
      <c r="I42" s="48"/>
      <c r="J42" s="48"/>
      <c r="K42" s="48"/>
      <c r="L42" s="14"/>
      <c r="M42" s="14"/>
      <c r="N42" s="14"/>
      <c r="O42" s="14"/>
    </row>
    <row r="43" spans="1:15" x14ac:dyDescent="0.25">
      <c r="A43" s="13"/>
      <c r="B43" s="14"/>
      <c r="C43" s="14"/>
      <c r="D43" s="14"/>
      <c r="E43" s="14"/>
      <c r="F43" s="14"/>
      <c r="G43" s="14"/>
      <c r="H43" s="14"/>
      <c r="I43" s="14"/>
      <c r="J43" s="14"/>
      <c r="K43" s="14"/>
      <c r="L43" s="14"/>
      <c r="M43" s="14"/>
      <c r="N43" s="14"/>
      <c r="O43" s="14"/>
    </row>
    <row r="44" spans="1:15" x14ac:dyDescent="0.25">
      <c r="A44" s="13" t="s">
        <v>21</v>
      </c>
      <c r="B44" s="14"/>
      <c r="C44" s="14"/>
      <c r="D44" s="14"/>
      <c r="E44" s="14"/>
      <c r="F44" s="14"/>
      <c r="G44" s="14"/>
      <c r="H44" s="14"/>
      <c r="I44" s="14"/>
      <c r="J44" s="14"/>
      <c r="K44" s="14"/>
      <c r="L44" s="14"/>
      <c r="M44" s="14"/>
      <c r="N44" s="14"/>
      <c r="O44" s="14"/>
    </row>
    <row r="45" spans="1:15" x14ac:dyDescent="0.25">
      <c r="A45" s="16"/>
      <c r="B45" s="16" t="s">
        <v>33</v>
      </c>
      <c r="C45" s="16" t="s">
        <v>11</v>
      </c>
      <c r="D45" s="16" t="s">
        <v>12</v>
      </c>
      <c r="E45" s="16" t="s">
        <v>14</v>
      </c>
      <c r="F45" s="14"/>
      <c r="G45" s="14"/>
      <c r="H45" s="14"/>
      <c r="I45" s="14"/>
      <c r="J45" s="14"/>
      <c r="K45" s="14"/>
      <c r="L45" s="14"/>
      <c r="M45" s="14"/>
      <c r="N45" s="14"/>
      <c r="O45" s="14"/>
    </row>
    <row r="46" spans="1:15" x14ac:dyDescent="0.25">
      <c r="A46" s="35" t="s">
        <v>40</v>
      </c>
      <c r="B46" s="32">
        <f t="shared" ref="B46:B55" si="6">B25/H25</f>
        <v>2.2560703866505487</v>
      </c>
      <c r="C46" s="32">
        <f t="shared" ref="C46:C55" si="7">C25/I25</f>
        <v>0.45834119032163906</v>
      </c>
      <c r="D46" s="32">
        <f t="shared" ref="D46:D55" si="8">D25/J25</f>
        <v>1.2032631951146644</v>
      </c>
      <c r="E46" s="32">
        <f t="shared" ref="E46:E55" si="9">E25/K25</f>
        <v>0.60390197928522171</v>
      </c>
      <c r="F46" s="14"/>
      <c r="G46" s="14"/>
      <c r="H46" s="14"/>
      <c r="I46" s="14"/>
      <c r="J46" s="14"/>
      <c r="K46" s="14"/>
      <c r="L46" s="14"/>
      <c r="M46" s="14"/>
      <c r="N46" s="14"/>
      <c r="O46" s="14"/>
    </row>
    <row r="47" spans="1:15" x14ac:dyDescent="0.25">
      <c r="A47" s="35" t="s">
        <v>41</v>
      </c>
      <c r="B47" s="32">
        <f t="shared" si="6"/>
        <v>2.5901112772797004</v>
      </c>
      <c r="C47" s="32">
        <f t="shared" si="7"/>
        <v>0.51605141951146627</v>
      </c>
      <c r="D47" s="32">
        <f t="shared" si="8"/>
        <v>1.0884930156943664</v>
      </c>
      <c r="E47" s="32">
        <f t="shared" si="9"/>
        <v>0.46044001685935415</v>
      </c>
      <c r="F47" s="14"/>
      <c r="G47" s="14"/>
      <c r="H47" s="14"/>
      <c r="I47" s="14"/>
      <c r="J47" s="14"/>
      <c r="K47" s="14"/>
      <c r="L47" s="14"/>
      <c r="M47" s="14"/>
      <c r="N47" s="14"/>
      <c r="O47" s="14"/>
    </row>
    <row r="48" spans="1:15" x14ac:dyDescent="0.25">
      <c r="A48" s="35" t="s">
        <v>42</v>
      </c>
      <c r="B48" s="32">
        <f t="shared" si="6"/>
        <v>2.1175325763008224</v>
      </c>
      <c r="C48" s="32">
        <f t="shared" si="7"/>
        <v>0.54523955280136271</v>
      </c>
      <c r="D48" s="32">
        <f t="shared" si="8"/>
        <v>1.1655307018254264</v>
      </c>
      <c r="E48" s="32">
        <f t="shared" si="9"/>
        <v>0.40108414462128511</v>
      </c>
      <c r="F48" s="14"/>
      <c r="G48" s="14"/>
      <c r="H48" s="14"/>
      <c r="I48" s="14"/>
      <c r="J48" s="14"/>
      <c r="K48" s="14"/>
      <c r="L48" s="14"/>
      <c r="M48" s="14"/>
      <c r="N48" s="14"/>
      <c r="O48" s="14"/>
    </row>
    <row r="49" spans="1:15" x14ac:dyDescent="0.25">
      <c r="A49" s="35" t="s">
        <v>39</v>
      </c>
      <c r="B49" s="32">
        <f t="shared" si="6"/>
        <v>2.3395012408380449</v>
      </c>
      <c r="C49" s="32">
        <f t="shared" si="7"/>
        <v>0.54293558206155701</v>
      </c>
      <c r="D49" s="32">
        <f t="shared" si="8"/>
        <v>1.101117582953308</v>
      </c>
      <c r="E49" s="32">
        <f t="shared" si="9"/>
        <v>0.46500976182744619</v>
      </c>
      <c r="F49" s="14"/>
      <c r="G49" s="14"/>
      <c r="H49" s="14"/>
      <c r="I49" s="14"/>
      <c r="J49" s="14"/>
      <c r="K49" s="14"/>
      <c r="L49" s="14"/>
      <c r="M49" s="14"/>
      <c r="N49" s="14"/>
      <c r="O49" s="14"/>
    </row>
    <row r="50" spans="1:15" ht="15.75" x14ac:dyDescent="0.25">
      <c r="A50" s="35" t="s">
        <v>34</v>
      </c>
      <c r="B50" s="32">
        <f t="shared" si="6"/>
        <v>2.3239382642214825</v>
      </c>
      <c r="C50" s="32">
        <f t="shared" si="7"/>
        <v>0.53285126313098075</v>
      </c>
      <c r="D50" s="32">
        <f t="shared" si="8"/>
        <v>1.2059731404893095</v>
      </c>
      <c r="E50" s="32">
        <f t="shared" si="9"/>
        <v>0.54644630750849854</v>
      </c>
      <c r="F50" s="14"/>
      <c r="G50" s="14"/>
      <c r="H50" s="14"/>
      <c r="I50" s="14"/>
      <c r="J50" s="14"/>
      <c r="K50" s="14"/>
      <c r="L50" s="14"/>
      <c r="M50" s="29"/>
      <c r="N50" s="14"/>
      <c r="O50" s="14"/>
    </row>
    <row r="51" spans="1:15" x14ac:dyDescent="0.25">
      <c r="A51" s="35" t="s">
        <v>35</v>
      </c>
      <c r="B51" s="32">
        <f t="shared" si="6"/>
        <v>2.3179174094585142</v>
      </c>
      <c r="C51" s="32">
        <f t="shared" si="7"/>
        <v>0.53209386824523097</v>
      </c>
      <c r="D51" s="32">
        <f t="shared" si="8"/>
        <v>1.2060538977385269</v>
      </c>
      <c r="E51" s="32">
        <f t="shared" si="9"/>
        <v>0.60149240713059016</v>
      </c>
      <c r="F51" s="14"/>
      <c r="G51" s="14"/>
      <c r="H51" s="14"/>
      <c r="I51" s="14"/>
      <c r="J51" s="14"/>
      <c r="K51" s="14"/>
      <c r="L51" s="14"/>
      <c r="M51" s="14"/>
      <c r="N51" s="14"/>
      <c r="O51" s="14"/>
    </row>
    <row r="52" spans="1:15" x14ac:dyDescent="0.25">
      <c r="A52" s="35" t="s">
        <v>36</v>
      </c>
      <c r="B52" s="32">
        <f t="shared" si="6"/>
        <v>2.0500816886757813</v>
      </c>
      <c r="C52" s="32">
        <f t="shared" si="7"/>
        <v>0.5507972886571425</v>
      </c>
      <c r="D52" s="32">
        <f t="shared" si="8"/>
        <v>1.2621971873894304</v>
      </c>
      <c r="E52" s="32">
        <f t="shared" si="9"/>
        <v>0.50921098721653701</v>
      </c>
      <c r="F52" s="14"/>
      <c r="G52" s="14"/>
      <c r="H52" s="14"/>
      <c r="I52" s="14"/>
      <c r="J52" s="14"/>
      <c r="K52" s="14"/>
      <c r="L52" s="14"/>
      <c r="M52" s="14"/>
      <c r="N52" s="14"/>
      <c r="O52" s="14"/>
    </row>
    <row r="53" spans="1:15" x14ac:dyDescent="0.25">
      <c r="A53" s="35" t="s">
        <v>37</v>
      </c>
      <c r="B53" s="32">
        <f t="shared" si="6"/>
        <v>2.3196940301109592</v>
      </c>
      <c r="C53" s="32">
        <f t="shared" si="7"/>
        <v>0.50454103371183057</v>
      </c>
      <c r="D53" s="32">
        <f t="shared" si="8"/>
        <v>1.2330905155650844</v>
      </c>
      <c r="E53" s="32">
        <f t="shared" si="9"/>
        <v>0.51378104559039495</v>
      </c>
      <c r="F53" s="14"/>
      <c r="G53" s="14"/>
      <c r="H53" s="14"/>
      <c r="I53" s="14"/>
      <c r="J53" s="14"/>
      <c r="K53" s="14"/>
      <c r="L53" s="14"/>
      <c r="M53" s="14"/>
      <c r="N53" s="14"/>
      <c r="O53" s="14"/>
    </row>
    <row r="54" spans="1:15" x14ac:dyDescent="0.25">
      <c r="A54" s="35" t="s">
        <v>38</v>
      </c>
      <c r="B54" s="32">
        <f t="shared" si="6"/>
        <v>2.1660544536035409</v>
      </c>
      <c r="C54" s="32">
        <f t="shared" si="7"/>
        <v>0.45059701640069294</v>
      </c>
      <c r="D54" s="32">
        <f t="shared" si="8"/>
        <v>1.2954923930995927</v>
      </c>
      <c r="E54" s="32">
        <f t="shared" si="9"/>
        <v>0.5634275290328451</v>
      </c>
      <c r="F54" s="14"/>
      <c r="G54" s="14"/>
      <c r="H54" s="14"/>
      <c r="I54" s="14"/>
      <c r="J54" s="14"/>
      <c r="K54" s="14"/>
      <c r="L54" s="14"/>
      <c r="M54" s="14"/>
      <c r="N54" s="14"/>
      <c r="O54" s="14"/>
    </row>
    <row r="55" spans="1:15" x14ac:dyDescent="0.25">
      <c r="A55" s="35" t="s">
        <v>44</v>
      </c>
      <c r="B55" s="32">
        <f t="shared" si="6"/>
        <v>2.7148911457352574</v>
      </c>
      <c r="C55" s="39">
        <f t="shared" si="7"/>
        <v>0.4807830727700067</v>
      </c>
      <c r="D55" s="39">
        <f t="shared" si="8"/>
        <v>1.17973539046461</v>
      </c>
      <c r="E55" s="39">
        <f t="shared" si="9"/>
        <v>0.55981641184291797</v>
      </c>
      <c r="F55" s="14"/>
      <c r="G55" s="14"/>
      <c r="H55" s="14"/>
      <c r="I55" s="14"/>
      <c r="J55" s="14"/>
      <c r="K55" s="14"/>
      <c r="L55" s="14"/>
      <c r="M55" s="14"/>
      <c r="N55" s="14"/>
      <c r="O55" s="14"/>
    </row>
    <row r="56" spans="1:15" x14ac:dyDescent="0.25">
      <c r="A56" s="35" t="s">
        <v>45</v>
      </c>
      <c r="B56" s="32">
        <f t="shared" ref="B56" si="10">B35/H35</f>
        <v>2.3243377593725021</v>
      </c>
      <c r="C56" s="39">
        <f t="shared" ref="C56:C62" si="11">C35/I35</f>
        <v>0.52952179138279953</v>
      </c>
      <c r="D56" s="39">
        <f t="shared" ref="D56" si="12">D35/J35</f>
        <v>1.2035896298439293</v>
      </c>
      <c r="E56" s="39">
        <f t="shared" ref="E56" si="13">E35/K35</f>
        <v>0.47733654295621186</v>
      </c>
      <c r="F56" s="14"/>
      <c r="G56" s="14"/>
      <c r="H56" s="14"/>
      <c r="I56" s="14"/>
      <c r="J56" s="14"/>
      <c r="K56" s="14"/>
      <c r="L56" s="14"/>
      <c r="M56" s="14"/>
      <c r="N56" s="14"/>
      <c r="O56" s="14"/>
    </row>
    <row r="57" spans="1:15" x14ac:dyDescent="0.25">
      <c r="A57" s="35" t="s">
        <v>47</v>
      </c>
      <c r="B57" s="32">
        <f>B36/H36</f>
        <v>2.5342690544199398</v>
      </c>
      <c r="C57" s="39">
        <f t="shared" si="11"/>
        <v>0.45279796020985458</v>
      </c>
      <c r="D57" s="39">
        <f>D36/J36</f>
        <v>1.1709455160520155</v>
      </c>
      <c r="E57" s="39">
        <f>E36/K36</f>
        <v>0.61396117297408648</v>
      </c>
      <c r="F57" s="14"/>
      <c r="G57" s="14"/>
      <c r="H57" s="14"/>
      <c r="I57" s="14"/>
      <c r="J57" s="14"/>
      <c r="K57" s="14"/>
      <c r="L57" s="14"/>
      <c r="M57" s="14"/>
      <c r="N57" s="14"/>
      <c r="O57" s="14"/>
    </row>
    <row r="58" spans="1:15" x14ac:dyDescent="0.25">
      <c r="A58" s="35" t="s">
        <v>48</v>
      </c>
      <c r="B58" s="32">
        <f t="shared" ref="B58" si="14">B37/H37</f>
        <v>2.4973573662003488</v>
      </c>
      <c r="C58" s="39">
        <f t="shared" si="11"/>
        <v>0.41220264089408193</v>
      </c>
      <c r="D58" s="39">
        <f t="shared" ref="D58" si="15">D37/J37</f>
        <v>1.197135000926326</v>
      </c>
      <c r="E58" s="39">
        <f t="shared" ref="E58" si="16">E37/K37</f>
        <v>0.56989874150792064</v>
      </c>
      <c r="F58" s="14"/>
      <c r="G58" s="14"/>
      <c r="H58" s="14"/>
      <c r="I58" s="14"/>
      <c r="J58" s="14"/>
      <c r="K58" s="14"/>
      <c r="L58" s="14"/>
      <c r="M58" s="14"/>
      <c r="N58" s="14"/>
      <c r="O58" s="14"/>
    </row>
    <row r="59" spans="1:15" x14ac:dyDescent="0.25">
      <c r="A59" s="35" t="s">
        <v>49</v>
      </c>
      <c r="B59" s="32">
        <f>B38/H38</f>
        <v>2.590976864507629</v>
      </c>
      <c r="C59" s="39">
        <f t="shared" si="11"/>
        <v>0.38983737327096002</v>
      </c>
      <c r="D59" s="39">
        <f t="shared" ref="D59:E62" si="17">D38/J38</f>
        <v>1.2902946263051704</v>
      </c>
      <c r="E59" s="39">
        <f t="shared" si="17"/>
        <v>0.52191047657841749</v>
      </c>
      <c r="F59" s="14"/>
      <c r="G59" s="14"/>
      <c r="H59" s="14"/>
      <c r="I59" s="14"/>
      <c r="J59" s="14"/>
      <c r="K59" s="14"/>
      <c r="L59" s="14"/>
      <c r="M59" s="14"/>
      <c r="N59" s="14"/>
      <c r="O59" s="14"/>
    </row>
    <row r="60" spans="1:15" x14ac:dyDescent="0.25">
      <c r="A60" s="35" t="s">
        <v>50</v>
      </c>
      <c r="B60" s="32">
        <f>B39/H39</f>
        <v>2.4937245157512642</v>
      </c>
      <c r="C60" s="39">
        <f t="shared" si="11"/>
        <v>0.43351248816526716</v>
      </c>
      <c r="D60" s="39">
        <f t="shared" si="17"/>
        <v>1.2660738714774649</v>
      </c>
      <c r="E60" s="39">
        <f t="shared" si="17"/>
        <v>0.45445491494757467</v>
      </c>
      <c r="F60" s="14"/>
      <c r="G60" s="14"/>
      <c r="H60" s="14"/>
      <c r="I60" s="14"/>
      <c r="J60" s="14"/>
      <c r="K60" s="14"/>
      <c r="L60" s="14"/>
      <c r="M60" s="14"/>
      <c r="N60" s="14"/>
      <c r="O60" s="14"/>
    </row>
    <row r="61" spans="1:15" x14ac:dyDescent="0.25">
      <c r="A61" s="35" t="s">
        <v>51</v>
      </c>
      <c r="B61" s="32">
        <f>B40/H40</f>
        <v>2.6542910775277768</v>
      </c>
      <c r="C61" s="39">
        <f t="shared" si="11"/>
        <v>0.39886919773622209</v>
      </c>
      <c r="D61" s="39">
        <f t="shared" si="17"/>
        <v>1.2617434661874729</v>
      </c>
      <c r="E61" s="39">
        <f t="shared" si="17"/>
        <v>0.46422574232634001</v>
      </c>
      <c r="F61" s="14"/>
      <c r="G61" s="14"/>
      <c r="H61" s="14"/>
      <c r="I61" s="14"/>
      <c r="J61" s="14"/>
      <c r="K61" s="14"/>
      <c r="L61" s="14"/>
      <c r="M61" s="14"/>
      <c r="N61" s="14"/>
      <c r="O61" s="14"/>
    </row>
    <row r="62" spans="1:15" x14ac:dyDescent="0.25">
      <c r="A62" s="35" t="s">
        <v>53</v>
      </c>
      <c r="B62" s="32">
        <f>B41/H41</f>
        <v>2.2833850941789633</v>
      </c>
      <c r="C62" s="39">
        <f t="shared" si="11"/>
        <v>0.36509564341502992</v>
      </c>
      <c r="D62" s="39">
        <f t="shared" si="17"/>
        <v>1.3669776493802663</v>
      </c>
      <c r="E62" s="39">
        <f t="shared" si="17"/>
        <v>0.48816094987775405</v>
      </c>
      <c r="F62" s="14"/>
      <c r="G62" s="14"/>
      <c r="H62" s="14"/>
      <c r="I62" s="14"/>
      <c r="J62" s="14"/>
      <c r="K62" s="14"/>
      <c r="L62" s="14"/>
      <c r="M62" s="14"/>
      <c r="N62" s="14"/>
      <c r="O62" s="14"/>
    </row>
    <row r="63" spans="1:15" x14ac:dyDescent="0.25">
      <c r="A63" s="42"/>
      <c r="B63" s="49"/>
      <c r="C63" s="50"/>
      <c r="D63" s="50"/>
      <c r="E63" s="50"/>
      <c r="F63" s="14"/>
      <c r="G63" s="14"/>
      <c r="H63" s="14"/>
      <c r="I63" s="14"/>
      <c r="J63" s="14"/>
      <c r="K63" s="14"/>
      <c r="L63" s="14"/>
      <c r="M63" s="14"/>
      <c r="N63" s="14"/>
      <c r="O63" s="14"/>
    </row>
    <row r="64" spans="1:15" x14ac:dyDescent="0.25">
      <c r="A64" s="13"/>
      <c r="B64" s="14"/>
      <c r="C64" s="14"/>
      <c r="D64" s="14"/>
      <c r="E64" s="14"/>
      <c r="F64" s="14"/>
      <c r="G64" s="14"/>
      <c r="H64" s="14"/>
      <c r="I64" s="14"/>
      <c r="J64" s="14"/>
      <c r="K64" s="14"/>
      <c r="L64" s="14"/>
      <c r="M64" s="14"/>
      <c r="N64" s="14"/>
      <c r="O64" s="14"/>
    </row>
    <row r="65" spans="1:15" x14ac:dyDescent="0.25">
      <c r="A65" s="13" t="s">
        <v>22</v>
      </c>
      <c r="B65" s="14"/>
      <c r="C65" s="14"/>
      <c r="D65" s="14"/>
      <c r="E65" s="14"/>
      <c r="F65" s="14"/>
      <c r="G65" s="14"/>
      <c r="H65" s="14"/>
      <c r="I65" s="14"/>
      <c r="J65" s="14"/>
      <c r="K65" s="14"/>
      <c r="L65" s="14"/>
      <c r="M65" s="14"/>
      <c r="N65" s="14"/>
      <c r="O65" s="14"/>
    </row>
    <row r="66" spans="1:15" ht="29.25" x14ac:dyDescent="0.25">
      <c r="A66" s="33"/>
      <c r="B66" s="33" t="s">
        <v>23</v>
      </c>
      <c r="C66" s="14"/>
      <c r="D66" s="14"/>
      <c r="E66" s="14"/>
      <c r="F66" s="14"/>
      <c r="G66" s="14"/>
      <c r="H66" s="14"/>
      <c r="I66" s="14"/>
      <c r="J66" s="14"/>
      <c r="K66" s="14"/>
      <c r="L66" s="14"/>
      <c r="M66" s="14"/>
      <c r="N66" s="14"/>
      <c r="O66" s="14"/>
    </row>
    <row r="67" spans="1:15" x14ac:dyDescent="0.25">
      <c r="A67" s="35" t="s">
        <v>40</v>
      </c>
      <c r="B67" s="34">
        <f>B46/C46</f>
        <v>4.9222510092696679</v>
      </c>
      <c r="C67" s="14"/>
      <c r="D67" s="14"/>
      <c r="E67" s="14"/>
      <c r="F67" s="14"/>
      <c r="G67" s="14"/>
      <c r="H67" s="14"/>
      <c r="I67" s="14"/>
      <c r="J67" s="14"/>
      <c r="K67" s="14"/>
      <c r="L67" s="14"/>
      <c r="M67" s="14"/>
      <c r="N67" s="14"/>
      <c r="O67" s="14"/>
    </row>
    <row r="68" spans="1:15" x14ac:dyDescent="0.25">
      <c r="A68" s="35" t="s">
        <v>41</v>
      </c>
      <c r="B68" s="34">
        <f t="shared" ref="B68:B73" si="18">B47/C47</f>
        <v>5.0190953446687496</v>
      </c>
      <c r="C68" s="14"/>
      <c r="D68" s="14"/>
      <c r="E68" s="14"/>
      <c r="F68" s="14"/>
      <c r="G68" s="14"/>
      <c r="H68" s="14"/>
      <c r="I68" s="14"/>
      <c r="J68" s="14"/>
      <c r="K68" s="14"/>
      <c r="L68" s="14"/>
      <c r="M68" s="14"/>
      <c r="N68" s="14"/>
      <c r="O68" s="14"/>
    </row>
    <row r="69" spans="1:15" x14ac:dyDescent="0.25">
      <c r="A69" s="35" t="s">
        <v>42</v>
      </c>
      <c r="B69" s="34">
        <f t="shared" si="18"/>
        <v>3.8836738190053222</v>
      </c>
      <c r="C69" s="14"/>
      <c r="D69" s="14"/>
      <c r="E69" s="14"/>
      <c r="F69" s="14"/>
      <c r="G69" s="14"/>
      <c r="H69" s="14"/>
      <c r="I69" s="14"/>
      <c r="J69" s="14"/>
      <c r="K69" s="14"/>
      <c r="L69" s="14"/>
      <c r="M69" s="14"/>
      <c r="N69" s="14"/>
      <c r="O69" s="14"/>
    </row>
    <row r="70" spans="1:15" x14ac:dyDescent="0.25">
      <c r="A70" s="35" t="s">
        <v>39</v>
      </c>
      <c r="B70" s="34">
        <f t="shared" si="18"/>
        <v>4.3089849295837768</v>
      </c>
      <c r="C70" s="14"/>
      <c r="D70" s="14"/>
      <c r="E70" s="14"/>
      <c r="F70" s="14"/>
      <c r="G70" s="14"/>
      <c r="H70" s="14"/>
      <c r="I70" s="14"/>
      <c r="J70" s="14"/>
      <c r="K70" s="14"/>
      <c r="L70" s="14"/>
      <c r="M70" s="14"/>
      <c r="N70" s="14"/>
      <c r="O70" s="14"/>
    </row>
    <row r="71" spans="1:15" x14ac:dyDescent="0.25">
      <c r="A71" s="35" t="s">
        <v>34</v>
      </c>
      <c r="B71" s="34">
        <f t="shared" si="18"/>
        <v>4.3613263681993617</v>
      </c>
      <c r="C71" s="14"/>
      <c r="D71" s="14"/>
      <c r="E71" s="14"/>
      <c r="F71" s="14"/>
      <c r="G71" s="14"/>
      <c r="H71" s="14"/>
      <c r="I71" s="14"/>
      <c r="J71" s="14"/>
      <c r="K71" s="14"/>
      <c r="L71" s="14"/>
      <c r="M71" s="14"/>
      <c r="N71" s="14"/>
      <c r="O71" s="14"/>
    </row>
    <row r="72" spans="1:15" x14ac:dyDescent="0.25">
      <c r="A72" s="35" t="s">
        <v>35</v>
      </c>
      <c r="B72" s="34">
        <f t="shared" si="18"/>
        <v>4.3562189827570696</v>
      </c>
      <c r="C72" s="14"/>
      <c r="D72" s="14"/>
      <c r="E72" s="14"/>
      <c r="F72" s="14"/>
      <c r="G72" s="14"/>
      <c r="H72" s="14"/>
      <c r="I72" s="14"/>
      <c r="J72" s="14"/>
      <c r="K72" s="14"/>
      <c r="L72" s="14"/>
      <c r="M72" s="14"/>
      <c r="N72" s="14"/>
      <c r="O72" s="14"/>
    </row>
    <row r="73" spans="1:15" x14ac:dyDescent="0.25">
      <c r="A73" s="35" t="s">
        <v>36</v>
      </c>
      <c r="B73" s="34">
        <f t="shared" si="18"/>
        <v>3.7220257450321359</v>
      </c>
      <c r="C73" s="14"/>
      <c r="D73" s="14"/>
      <c r="E73" s="14"/>
      <c r="F73" s="14"/>
      <c r="G73" s="14"/>
      <c r="H73" s="14"/>
      <c r="I73" s="14"/>
      <c r="J73" s="14"/>
      <c r="K73" s="14"/>
      <c r="L73" s="14"/>
      <c r="M73" s="14"/>
      <c r="N73" s="14"/>
      <c r="O73" s="14"/>
    </row>
    <row r="74" spans="1:15" x14ac:dyDescent="0.25">
      <c r="A74" s="35" t="s">
        <v>37</v>
      </c>
      <c r="B74" s="34">
        <f t="shared" ref="B74:B80" si="19">B53/C53</f>
        <v>4.5976320559010393</v>
      </c>
      <c r="C74" s="14"/>
      <c r="D74" s="14"/>
      <c r="E74" s="14"/>
      <c r="F74" s="14"/>
      <c r="G74" s="14"/>
      <c r="H74" s="14"/>
      <c r="I74" s="14"/>
      <c r="J74" s="14"/>
      <c r="K74" s="14"/>
      <c r="L74" s="14"/>
      <c r="M74" s="14"/>
      <c r="N74" s="14"/>
      <c r="O74" s="14"/>
    </row>
    <row r="75" spans="1:15" x14ac:dyDescent="0.25">
      <c r="A75" s="35" t="s">
        <v>38</v>
      </c>
      <c r="B75" s="34">
        <f t="shared" si="19"/>
        <v>4.8070767776175849</v>
      </c>
      <c r="C75" s="14"/>
      <c r="D75" s="14"/>
      <c r="E75" s="14"/>
      <c r="F75" s="14"/>
      <c r="G75" s="14"/>
      <c r="H75" s="14"/>
      <c r="I75" s="14"/>
      <c r="J75" s="14"/>
      <c r="K75" s="14"/>
      <c r="L75" s="14"/>
      <c r="M75" s="14"/>
      <c r="N75" s="14"/>
      <c r="O75" s="14"/>
    </row>
    <row r="76" spans="1:15" x14ac:dyDescent="0.25">
      <c r="A76" s="35" t="s">
        <v>44</v>
      </c>
      <c r="B76" s="34">
        <f t="shared" si="19"/>
        <v>5.6468110037517603</v>
      </c>
      <c r="C76" s="14"/>
      <c r="D76" s="14"/>
      <c r="E76" s="14"/>
      <c r="F76" s="14"/>
      <c r="G76" s="14"/>
      <c r="H76" s="14"/>
      <c r="I76" s="14"/>
      <c r="J76" s="14"/>
      <c r="K76" s="14"/>
      <c r="L76" s="14"/>
      <c r="M76" s="14"/>
      <c r="N76" s="14"/>
      <c r="O76" s="14"/>
    </row>
    <row r="77" spans="1:15" x14ac:dyDescent="0.25">
      <c r="A77" s="35" t="s">
        <v>45</v>
      </c>
      <c r="B77" s="34">
        <f t="shared" si="19"/>
        <v>4.3895035052338427</v>
      </c>
      <c r="C77" s="14"/>
      <c r="D77" s="14"/>
      <c r="E77" s="14"/>
      <c r="F77" s="14"/>
      <c r="G77" s="14"/>
      <c r="H77" s="14"/>
      <c r="I77" s="14"/>
      <c r="J77" s="14"/>
      <c r="K77" s="14"/>
      <c r="L77" s="14"/>
      <c r="M77" s="14"/>
      <c r="N77" s="14"/>
      <c r="O77" s="14"/>
    </row>
    <row r="78" spans="1:15" x14ac:dyDescent="0.25">
      <c r="A78" s="35" t="s">
        <v>47</v>
      </c>
      <c r="B78" s="34">
        <f t="shared" si="19"/>
        <v>5.5969091672705478</v>
      </c>
      <c r="C78" s="14"/>
      <c r="D78" s="14"/>
      <c r="E78" s="14"/>
      <c r="F78" s="14"/>
      <c r="G78" s="14"/>
      <c r="H78" s="14"/>
      <c r="I78" s="14"/>
      <c r="J78" s="14"/>
      <c r="K78" s="14"/>
      <c r="L78" s="14"/>
      <c r="M78" s="14"/>
      <c r="N78" s="14"/>
      <c r="O78" s="14"/>
    </row>
    <row r="79" spans="1:15" x14ac:dyDescent="0.25">
      <c r="A79" s="35" t="s">
        <v>48</v>
      </c>
      <c r="B79" s="34">
        <f t="shared" si="19"/>
        <v>6.0585671183073773</v>
      </c>
      <c r="C79" s="14"/>
      <c r="D79" s="14"/>
      <c r="E79" s="14"/>
      <c r="F79" s="14"/>
      <c r="G79" s="14"/>
      <c r="H79" s="14"/>
      <c r="I79" s="14"/>
      <c r="J79" s="14"/>
      <c r="K79" s="14"/>
      <c r="L79" s="14"/>
      <c r="M79" s="14"/>
      <c r="N79" s="14"/>
      <c r="O79" s="14"/>
    </row>
    <row r="80" spans="1:15" x14ac:dyDescent="0.25">
      <c r="A80" s="35" t="s">
        <v>49</v>
      </c>
      <c r="B80" s="34">
        <f t="shared" si="19"/>
        <v>6.6463018739528259</v>
      </c>
      <c r="C80" s="14"/>
      <c r="D80" s="14"/>
      <c r="E80" s="14"/>
      <c r="F80" s="14"/>
      <c r="G80" s="14"/>
      <c r="H80" s="14"/>
      <c r="I80" s="14"/>
      <c r="J80" s="14"/>
      <c r="K80" s="14"/>
      <c r="L80" s="14"/>
      <c r="M80" s="14"/>
      <c r="N80" s="14"/>
      <c r="O80" s="14"/>
    </row>
    <row r="81" spans="1:15" x14ac:dyDescent="0.25">
      <c r="A81" s="35" t="s">
        <v>50</v>
      </c>
      <c r="B81" s="34">
        <f t="shared" ref="B81" si="20">B60/C60</f>
        <v>5.7523706555844045</v>
      </c>
      <c r="C81" s="14"/>
      <c r="D81" s="14"/>
      <c r="E81" s="14"/>
      <c r="F81" s="14"/>
      <c r="G81" s="14"/>
      <c r="H81" s="14"/>
      <c r="I81" s="14"/>
      <c r="J81" s="14"/>
      <c r="K81" s="14"/>
      <c r="L81" s="14"/>
      <c r="M81" s="14"/>
      <c r="N81" s="14"/>
      <c r="O81" s="14"/>
    </row>
    <row r="82" spans="1:15" x14ac:dyDescent="0.25">
      <c r="A82" s="35" t="s">
        <v>51</v>
      </c>
      <c r="B82" s="34">
        <f t="shared" ref="B82:B83" si="21">B61/C61</f>
        <v>6.6545401163894775</v>
      </c>
      <c r="C82" s="14"/>
      <c r="D82" s="14"/>
      <c r="E82" s="14"/>
      <c r="F82" s="14"/>
      <c r="G82" s="14"/>
      <c r="H82" s="14"/>
      <c r="I82" s="14"/>
      <c r="J82" s="14"/>
      <c r="K82" s="14"/>
      <c r="L82" s="14"/>
      <c r="M82" s="14"/>
      <c r="N82" s="14"/>
      <c r="O82" s="14"/>
    </row>
    <row r="83" spans="1:15" x14ac:dyDescent="0.25">
      <c r="A83" s="35" t="s">
        <v>53</v>
      </c>
      <c r="B83" s="34">
        <f t="shared" si="21"/>
        <v>6.2542107400149902</v>
      </c>
      <c r="C83" s="14"/>
      <c r="D83" s="14"/>
      <c r="E83" s="14"/>
      <c r="F83" s="14"/>
      <c r="G83" s="14"/>
      <c r="H83" s="14"/>
      <c r="I83" s="14"/>
      <c r="J83" s="14"/>
      <c r="K83" s="14"/>
      <c r="L83" s="14"/>
      <c r="M83" s="14"/>
      <c r="N83" s="14"/>
      <c r="O83" s="14"/>
    </row>
    <row r="84" spans="1:15" x14ac:dyDescent="0.25">
      <c r="A84" s="42"/>
      <c r="B84" s="43"/>
      <c r="C84" s="14"/>
      <c r="D84" s="14"/>
      <c r="E84" s="14"/>
      <c r="F84" s="14"/>
      <c r="G84" s="14"/>
      <c r="H84" s="14"/>
      <c r="I84" s="14"/>
      <c r="J84" s="14"/>
      <c r="K84" s="14"/>
      <c r="L84" s="14"/>
      <c r="M84" s="14"/>
      <c r="N84" s="14"/>
      <c r="O84" s="14"/>
    </row>
    <row r="85" spans="1:15" x14ac:dyDescent="0.25">
      <c r="A85" s="13"/>
      <c r="B85" s="14"/>
      <c r="C85" s="14"/>
      <c r="D85" s="14"/>
      <c r="E85" s="14"/>
      <c r="F85" s="14"/>
      <c r="G85" s="14"/>
      <c r="H85" s="14"/>
      <c r="I85" s="14"/>
      <c r="J85" s="14"/>
      <c r="K85" s="14"/>
      <c r="L85" s="14"/>
      <c r="M85" s="14"/>
      <c r="N85" s="14"/>
      <c r="O85" s="14"/>
    </row>
    <row r="86" spans="1:15" x14ac:dyDescent="0.25">
      <c r="A86" s="14" t="s">
        <v>46</v>
      </c>
      <c r="B86" s="14"/>
      <c r="C86" s="14"/>
      <c r="D86" s="14"/>
      <c r="E86" s="14"/>
      <c r="F86" s="14"/>
      <c r="G86" s="14"/>
      <c r="H86" s="14"/>
      <c r="I86" s="14"/>
      <c r="J86" s="14"/>
      <c r="K86" s="14"/>
      <c r="L86" s="14"/>
      <c r="M86" s="14"/>
      <c r="N86" s="14"/>
      <c r="O86" s="14"/>
    </row>
    <row r="87" spans="1:15" ht="15.75" x14ac:dyDescent="0.25">
      <c r="A87" s="29" t="s">
        <v>54</v>
      </c>
      <c r="B87" s="14"/>
      <c r="C87" s="14"/>
      <c r="D87" s="14"/>
      <c r="E87" s="14"/>
      <c r="F87" s="14"/>
      <c r="G87" s="14"/>
      <c r="H87" s="14"/>
      <c r="I87" s="14"/>
      <c r="J87" s="14"/>
      <c r="K87" s="14"/>
      <c r="L87" s="14"/>
      <c r="M87" s="14"/>
      <c r="N87" s="14"/>
      <c r="O87" s="14"/>
    </row>
    <row r="88" spans="1:15" x14ac:dyDescent="0.25">
      <c r="A88" s="14" t="s">
        <v>26</v>
      </c>
      <c r="B88" s="14"/>
      <c r="C88" s="14"/>
      <c r="D88" s="14"/>
      <c r="E88" s="14"/>
      <c r="F88" s="14"/>
      <c r="G88" s="14"/>
      <c r="H88" s="14"/>
      <c r="I88" s="14"/>
      <c r="J88" s="14"/>
      <c r="K88" s="14"/>
      <c r="L88" s="14"/>
      <c r="M88" s="14"/>
      <c r="N88" s="14"/>
      <c r="O88" s="14"/>
    </row>
    <row r="89" spans="1:15" x14ac:dyDescent="0.25">
      <c r="A89" s="14" t="s">
        <v>25</v>
      </c>
      <c r="B89" s="14"/>
      <c r="C89" s="14"/>
      <c r="D89" s="14"/>
      <c r="E89" s="14"/>
      <c r="F89" s="14"/>
      <c r="G89" s="14"/>
      <c r="H89" s="14"/>
      <c r="I89" s="14"/>
      <c r="J89" s="14"/>
      <c r="K89" s="14"/>
      <c r="L89" s="14"/>
      <c r="M89" s="14"/>
      <c r="N89" s="14"/>
      <c r="O89" s="14"/>
    </row>
    <row r="90" spans="1:15" x14ac:dyDescent="0.25">
      <c r="A90" s="14" t="s">
        <v>52</v>
      </c>
      <c r="B90" s="14"/>
      <c r="C90" s="14"/>
      <c r="D90" s="14"/>
      <c r="E90" s="14"/>
      <c r="F90" s="14"/>
      <c r="G90" s="14"/>
      <c r="H90" s="14"/>
      <c r="I90" s="14"/>
      <c r="J90" s="14"/>
      <c r="K90" s="14"/>
      <c r="L90" s="14"/>
      <c r="M90" s="14"/>
      <c r="N90" s="14"/>
      <c r="O90" s="14"/>
    </row>
    <row r="91" spans="1:15" x14ac:dyDescent="0.25">
      <c r="A91" s="13"/>
      <c r="B91" s="14"/>
      <c r="C91" s="14"/>
      <c r="D91" s="14"/>
      <c r="E91" s="14"/>
      <c r="F91" s="14"/>
      <c r="G91" s="14"/>
      <c r="H91" s="14"/>
      <c r="I91" s="14"/>
      <c r="J91" s="14"/>
      <c r="K91" s="14"/>
      <c r="L91" s="14"/>
      <c r="M91" s="14"/>
      <c r="N91" s="14"/>
      <c r="O91" s="14"/>
    </row>
    <row r="92" spans="1:15" x14ac:dyDescent="0.25">
      <c r="A92" s="13"/>
      <c r="B92" s="14"/>
      <c r="C92" s="14"/>
      <c r="D92" s="14"/>
      <c r="E92" s="14"/>
      <c r="F92" s="14"/>
      <c r="G92" s="14"/>
      <c r="H92" s="14"/>
      <c r="I92" s="14"/>
      <c r="J92" s="14"/>
      <c r="K92" s="14"/>
      <c r="L92" s="14"/>
      <c r="M92" s="14"/>
      <c r="N92" s="14"/>
      <c r="O92" s="14"/>
    </row>
    <row r="93" spans="1:15" x14ac:dyDescent="0.25">
      <c r="A93" s="13"/>
      <c r="B93" s="14"/>
      <c r="C93" s="14"/>
      <c r="D93" s="14"/>
      <c r="E93" s="14"/>
      <c r="F93" s="14"/>
      <c r="G93" s="14"/>
      <c r="H93" s="14"/>
      <c r="I93" s="14"/>
      <c r="J93" s="14"/>
      <c r="K93" s="14"/>
      <c r="L93" s="14"/>
      <c r="M93" s="14"/>
      <c r="N93" s="14"/>
      <c r="O93" s="14"/>
    </row>
    <row r="94" spans="1:15" x14ac:dyDescent="0.25">
      <c r="A94" s="13"/>
      <c r="B94" s="14"/>
      <c r="C94" s="14"/>
      <c r="D94" s="14"/>
      <c r="E94" s="14"/>
      <c r="F94" s="14"/>
      <c r="G94" s="14"/>
      <c r="H94" s="14"/>
      <c r="I94" s="14"/>
      <c r="J94" s="14"/>
      <c r="K94" s="14"/>
      <c r="L94" s="14"/>
      <c r="M94" s="14"/>
      <c r="N94" s="14"/>
      <c r="O94" s="14"/>
    </row>
    <row r="95" spans="1:15" x14ac:dyDescent="0.25">
      <c r="A95" s="13"/>
      <c r="B95" s="14"/>
      <c r="C95" s="14"/>
      <c r="D95" s="14"/>
      <c r="E95" s="14"/>
      <c r="F95" s="14"/>
      <c r="G95" s="14"/>
      <c r="H95" s="14"/>
      <c r="I95" s="14"/>
      <c r="J95" s="14"/>
      <c r="K95" s="14"/>
      <c r="L95" s="14"/>
      <c r="M95" s="14"/>
      <c r="N95" s="14"/>
      <c r="O95" s="14"/>
    </row>
    <row r="96" spans="1:15" x14ac:dyDescent="0.25">
      <c r="A96" s="13"/>
      <c r="B96" s="14"/>
      <c r="C96" s="14"/>
      <c r="D96" s="14"/>
      <c r="E96" s="14"/>
      <c r="F96" s="14"/>
      <c r="G96" s="14"/>
      <c r="H96" s="14"/>
      <c r="I96" s="14"/>
      <c r="J96" s="14"/>
      <c r="K96" s="14"/>
      <c r="L96" s="14"/>
      <c r="M96" s="14"/>
      <c r="N96" s="14"/>
      <c r="O96" s="14"/>
    </row>
    <row r="97" spans="1:15" x14ac:dyDescent="0.25">
      <c r="A97" s="13"/>
      <c r="B97" s="14"/>
      <c r="C97" s="14"/>
      <c r="D97" s="14"/>
      <c r="E97" s="14"/>
      <c r="F97" s="14"/>
      <c r="G97" s="14"/>
      <c r="H97" s="14"/>
      <c r="I97" s="14"/>
      <c r="J97" s="14"/>
      <c r="K97" s="14"/>
      <c r="L97" s="14"/>
      <c r="M97" s="14"/>
      <c r="N97" s="14"/>
      <c r="O97" s="14"/>
    </row>
    <row r="98" spans="1:15" x14ac:dyDescent="0.25">
      <c r="A98" s="13"/>
      <c r="B98" s="14"/>
      <c r="C98" s="14"/>
      <c r="D98" s="14"/>
      <c r="E98" s="14"/>
      <c r="F98" s="14"/>
      <c r="G98" s="14"/>
      <c r="H98" s="14"/>
      <c r="I98" s="14"/>
      <c r="J98" s="14"/>
      <c r="K98" s="14"/>
      <c r="L98" s="14"/>
      <c r="M98" s="14"/>
      <c r="N98" s="14"/>
      <c r="O98" s="14"/>
    </row>
    <row r="99" spans="1:15" x14ac:dyDescent="0.25">
      <c r="A99" s="13"/>
      <c r="B99" s="14"/>
      <c r="C99" s="14"/>
      <c r="D99" s="14"/>
      <c r="E99" s="14"/>
      <c r="F99" s="14"/>
      <c r="G99" s="14"/>
      <c r="H99" s="14"/>
      <c r="I99" s="14"/>
      <c r="J99" s="14"/>
      <c r="K99" s="14"/>
      <c r="L99" s="14"/>
      <c r="M99" s="14"/>
      <c r="N99" s="14"/>
      <c r="O99" s="14"/>
    </row>
    <row r="100" spans="1:15" x14ac:dyDescent="0.25">
      <c r="A100" s="13"/>
      <c r="B100" s="14"/>
      <c r="C100" s="14"/>
      <c r="D100" s="14"/>
      <c r="E100" s="14"/>
      <c r="F100" s="14"/>
      <c r="G100" s="14"/>
      <c r="H100" s="14"/>
      <c r="I100" s="14"/>
      <c r="J100" s="14"/>
      <c r="K100" s="14"/>
      <c r="L100" s="14"/>
      <c r="M100" s="14"/>
    </row>
  </sheetData>
  <phoneticPr fontId="14" type="noConversion"/>
  <pageMargins left="0.75" right="0.75" top="1" bottom="1" header="0.5" footer="0.5"/>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zoomScale="91" zoomScaleNormal="91" workbookViewId="0">
      <selection activeCell="I46" sqref="I46"/>
    </sheetView>
  </sheetViews>
  <sheetFormatPr defaultColWidth="11" defaultRowHeight="11.25" x14ac:dyDescent="0.2"/>
  <cols>
    <col min="1" max="1" width="17.375" style="3" customWidth="1"/>
    <col min="2" max="2" width="19" style="3" customWidth="1"/>
    <col min="3" max="3" width="20" style="3" bestFit="1" customWidth="1"/>
    <col min="4" max="4" width="11" style="3"/>
    <col min="5" max="5" width="15.125" style="3" customWidth="1"/>
    <col min="6" max="13" width="11" style="3"/>
    <col min="14" max="14" width="11" style="3" customWidth="1"/>
    <col min="15" max="16384" width="11" style="3"/>
  </cols>
  <sheetData>
    <row r="1" spans="1:18" x14ac:dyDescent="0.2">
      <c r="A1" s="5" t="s">
        <v>24</v>
      </c>
    </row>
    <row r="2" spans="1:18" x14ac:dyDescent="0.2">
      <c r="B2" s="3" t="s">
        <v>17</v>
      </c>
      <c r="I2" s="3" t="s">
        <v>18</v>
      </c>
    </row>
    <row r="3" spans="1:18" x14ac:dyDescent="0.2">
      <c r="A3" s="3" t="s">
        <v>0</v>
      </c>
      <c r="B3" s="3" t="s">
        <v>5</v>
      </c>
      <c r="C3" s="3" t="s">
        <v>6</v>
      </c>
      <c r="D3" s="3" t="s">
        <v>7</v>
      </c>
      <c r="E3" s="3" t="s">
        <v>9</v>
      </c>
      <c r="F3" s="3" t="s">
        <v>19</v>
      </c>
      <c r="H3" s="3" t="s">
        <v>1</v>
      </c>
      <c r="I3" s="3" t="s">
        <v>2</v>
      </c>
      <c r="J3" s="3" t="s">
        <v>3</v>
      </c>
      <c r="K3" s="3" t="s">
        <v>4</v>
      </c>
      <c r="L3" s="3" t="s">
        <v>20</v>
      </c>
      <c r="N3" s="3" t="s">
        <v>10</v>
      </c>
      <c r="O3" s="3" t="s">
        <v>11</v>
      </c>
      <c r="P3" s="3" t="s">
        <v>12</v>
      </c>
      <c r="Q3" s="3" t="s">
        <v>13</v>
      </c>
      <c r="R3" s="3" t="s">
        <v>14</v>
      </c>
    </row>
    <row r="4" spans="1:18" x14ac:dyDescent="0.2">
      <c r="A4" s="3">
        <v>2008</v>
      </c>
      <c r="B4" s="3">
        <v>146</v>
      </c>
      <c r="C4" s="3">
        <v>60</v>
      </c>
      <c r="D4" s="3">
        <v>191</v>
      </c>
      <c r="E4" s="3">
        <f>11+1</f>
        <v>12</v>
      </c>
      <c r="F4" s="3">
        <f>SUM(Table1[[#This Row],[African American'#]:[Other'#]])</f>
        <v>409</v>
      </c>
      <c r="H4" s="3">
        <v>23497</v>
      </c>
      <c r="I4" s="3">
        <v>82337</v>
      </c>
      <c r="J4" s="3">
        <v>98597</v>
      </c>
      <c r="K4" s="3">
        <v>11362</v>
      </c>
      <c r="L4" s="3">
        <f t="shared" ref="L4:L5" si="0">SUM(H4:K4)</f>
        <v>215793</v>
      </c>
      <c r="N4" s="3">
        <f>Table1[[#This Row],[African American'#]]/H4*1000</f>
        <v>6.2135591777673742</v>
      </c>
      <c r="O4" s="3">
        <f>Table1[[#This Row],[Anglo'#]]/I4*1000</f>
        <v>0.72871248648845599</v>
      </c>
      <c r="P4" s="3">
        <f>Table1[[#This Row],[Hispanic'#]]/J4*1000</f>
        <v>1.9371786159822306</v>
      </c>
      <c r="Q4" s="3" t="e">
        <f>#REF!/#REF!*1000</f>
        <v>#REF!</v>
      </c>
      <c r="R4" s="3">
        <f>Table1[[#This Row],[Other'#]]/K4*1000</f>
        <v>1.0561520859003697</v>
      </c>
    </row>
    <row r="5" spans="1:18" x14ac:dyDescent="0.2">
      <c r="A5" s="3">
        <v>2009</v>
      </c>
      <c r="B5" s="3">
        <v>132</v>
      </c>
      <c r="C5" s="3">
        <v>68</v>
      </c>
      <c r="D5" s="3">
        <v>154</v>
      </c>
      <c r="E5" s="3">
        <v>14</v>
      </c>
      <c r="F5" s="3">
        <f>SUM(Table1[[#This Row],[African American'#]:[Other'#]])</f>
        <v>368</v>
      </c>
      <c r="H5" s="3">
        <v>23360</v>
      </c>
      <c r="I5" s="3">
        <v>81335</v>
      </c>
      <c r="J5" s="3">
        <v>101250</v>
      </c>
      <c r="K5" s="3">
        <v>11728</v>
      </c>
      <c r="L5" s="3">
        <f t="shared" si="0"/>
        <v>217673</v>
      </c>
      <c r="N5" s="3">
        <f>Table1[[#This Row],[African American'#]]/H5*1000</f>
        <v>5.6506849315068495</v>
      </c>
      <c r="O5" s="3">
        <f>Table1[[#This Row],[Anglo'#]]/I5*1000</f>
        <v>0.83604844163029446</v>
      </c>
      <c r="P5" s="3">
        <f>Table1[[#This Row],[Hispanic'#]]/J5*1000</f>
        <v>1.5209876543209877</v>
      </c>
      <c r="Q5" s="3" t="e">
        <f>#REF!/#REF!*1000</f>
        <v>#REF!</v>
      </c>
      <c r="R5" s="3">
        <f>Table1[[#This Row],[Other'#]]/K5*1000</f>
        <v>1.1937244201909958</v>
      </c>
    </row>
    <row r="6" spans="1:18" x14ac:dyDescent="0.2">
      <c r="A6" s="3">
        <v>2010</v>
      </c>
      <c r="B6" s="3">
        <v>180</v>
      </c>
      <c r="C6" s="3">
        <v>101</v>
      </c>
      <c r="D6" s="3">
        <v>193</v>
      </c>
      <c r="E6" s="3">
        <v>10</v>
      </c>
      <c r="F6" s="3">
        <f>SUM(Table1[[#This Row],[African American'#]:[Other'#]])</f>
        <v>484</v>
      </c>
      <c r="H6" s="3">
        <v>21930</v>
      </c>
      <c r="I6" s="3">
        <v>87795</v>
      </c>
      <c r="J6" s="3">
        <v>114643</v>
      </c>
      <c r="K6" s="3">
        <v>20669</v>
      </c>
      <c r="L6" s="3">
        <v>245037</v>
      </c>
      <c r="N6" s="3">
        <f>Table1[[#This Row],[African American'#]]/H6*1000</f>
        <v>8.207934336525307</v>
      </c>
      <c r="O6" s="3">
        <f>Table1[[#This Row],[Anglo'#]]/I6*1000</f>
        <v>1.1504071985876188</v>
      </c>
      <c r="P6" s="3">
        <f>Table1[[#This Row],[Hispanic'#]]/J6*1000</f>
        <v>1.6834869987700949</v>
      </c>
      <c r="Q6" s="3" t="e">
        <f>#REF!/#REF!*1000</f>
        <v>#REF!</v>
      </c>
      <c r="R6" s="3">
        <f>Table1[[#This Row],[Other'#]]/K6*1000</f>
        <v>0.4838163433160772</v>
      </c>
    </row>
    <row r="7" spans="1:18" x14ac:dyDescent="0.2">
      <c r="A7" s="3">
        <v>2011</v>
      </c>
      <c r="B7" s="3">
        <v>240</v>
      </c>
      <c r="C7" s="3">
        <v>111</v>
      </c>
      <c r="D7" s="3">
        <v>258</v>
      </c>
      <c r="E7" s="3">
        <v>18</v>
      </c>
      <c r="F7" s="3">
        <f>SUM(Table1[[#This Row],[African American'#]:[Other'#]])</f>
        <v>627</v>
      </c>
      <c r="H7" s="3">
        <v>21807</v>
      </c>
      <c r="I7" s="3">
        <v>89325</v>
      </c>
      <c r="J7" s="3">
        <v>118026</v>
      </c>
      <c r="K7" s="3">
        <v>21582</v>
      </c>
      <c r="L7" s="3">
        <v>250740</v>
      </c>
      <c r="N7" s="3">
        <f>Table1[[#This Row],[African American'#]]/H7*1000</f>
        <v>11.005640390700233</v>
      </c>
      <c r="O7" s="3">
        <f>Table1[[#This Row],[Anglo'#]]/I7*1000</f>
        <v>1.242653232577666</v>
      </c>
      <c r="P7" s="3">
        <f>Table1[[#This Row],[Hispanic'#]]/J7*1000</f>
        <v>2.1859590259773269</v>
      </c>
      <c r="Q7" s="3" t="e">
        <f>#REF!/#REF!*1000</f>
        <v>#REF!</v>
      </c>
      <c r="R7" s="3">
        <f>Table1[[#This Row],[Other'#]]/K7*1000</f>
        <v>0.8340283569641368</v>
      </c>
    </row>
    <row r="8" spans="1:18" x14ac:dyDescent="0.2">
      <c r="A8" s="3">
        <v>2012</v>
      </c>
      <c r="B8" s="3">
        <v>154</v>
      </c>
      <c r="C8" s="3">
        <v>130</v>
      </c>
      <c r="D8" s="3">
        <v>322</v>
      </c>
      <c r="E8" s="3">
        <f>38+2+1</f>
        <v>41</v>
      </c>
      <c r="F8" s="3">
        <f>SUM(Table1[[#This Row],[African American'#]:[Other'#]])</f>
        <v>647</v>
      </c>
      <c r="H8" s="3">
        <v>21740</v>
      </c>
      <c r="I8" s="3">
        <v>91275</v>
      </c>
      <c r="J8" s="3">
        <v>121623</v>
      </c>
      <c r="K8" s="3">
        <v>22458</v>
      </c>
      <c r="L8" s="3">
        <v>257096</v>
      </c>
      <c r="N8" s="3">
        <f>Table1[[#This Row],[African American'#]]/H8*1000</f>
        <v>7.0837166513339467</v>
      </c>
      <c r="O8" s="3">
        <f>Table1[[#This Row],[Anglo'#]]/I8*1000</f>
        <v>1.4242673240208161</v>
      </c>
      <c r="P8" s="3">
        <f>Table1[[#This Row],[Hispanic'#]]/J8*1000</f>
        <v>2.647525550265986</v>
      </c>
      <c r="Q8" s="3" t="e">
        <f>#REF!/#REF!*1000</f>
        <v>#REF!</v>
      </c>
      <c r="R8" s="3">
        <f>Table1[[#This Row],[Other'#]]/K8*1000</f>
        <v>1.8256300650102413</v>
      </c>
    </row>
    <row r="9" spans="1:18" x14ac:dyDescent="0.2">
      <c r="A9" s="3">
        <v>2013</v>
      </c>
      <c r="B9" s="3">
        <v>148</v>
      </c>
      <c r="C9" s="3">
        <v>130</v>
      </c>
      <c r="D9" s="3">
        <v>321</v>
      </c>
      <c r="E9" s="3">
        <f>6+34</f>
        <v>40</v>
      </c>
      <c r="F9" s="3">
        <f>SUM(Table1[[#This Row],[African American'#]:[Other'#]])</f>
        <v>639</v>
      </c>
      <c r="H9" s="3">
        <v>21738</v>
      </c>
      <c r="I9" s="3">
        <v>93559</v>
      </c>
      <c r="J9" s="3">
        <v>125202</v>
      </c>
      <c r="K9" s="3">
        <v>23399</v>
      </c>
      <c r="L9" s="3">
        <v>263898</v>
      </c>
      <c r="N9" s="3">
        <f>Table1[[#This Row],[African American'#]]/H9*1000</f>
        <v>6.8083540344097893</v>
      </c>
      <c r="O9" s="3">
        <f>Table1[[#This Row],[Anglo'#]]/I9*1000</f>
        <v>1.3894975363139836</v>
      </c>
      <c r="P9" s="3">
        <f>Table1[[#This Row],[Hispanic'#]]/J9*1000</f>
        <v>2.5638568073992429</v>
      </c>
      <c r="Q9" s="3" t="e">
        <f>#REF!/#REF!*1000</f>
        <v>#REF!</v>
      </c>
      <c r="R9" s="3">
        <f>Table1[[#This Row],[Other'#]]/K9*1000</f>
        <v>1.7094747638787982</v>
      </c>
    </row>
    <row r="10" spans="1:18" x14ac:dyDescent="0.2">
      <c r="A10" s="3">
        <v>2014</v>
      </c>
      <c r="B10" s="3">
        <v>128</v>
      </c>
      <c r="C10" s="3">
        <v>126</v>
      </c>
      <c r="D10" s="3">
        <v>343</v>
      </c>
      <c r="E10" s="3">
        <v>34</v>
      </c>
      <c r="F10" s="3">
        <f>SUM(Table1[[#This Row],[African American'#]:[Other'#]])</f>
        <v>631</v>
      </c>
      <c r="H10" s="3">
        <v>21762</v>
      </c>
      <c r="I10" s="3">
        <v>95829</v>
      </c>
      <c r="J10" s="3">
        <v>128761</v>
      </c>
      <c r="K10" s="3">
        <v>24356</v>
      </c>
      <c r="L10" s="3">
        <v>270708</v>
      </c>
      <c r="N10" s="3">
        <f>Table1[[#This Row],[African American'#]]/H10*1000</f>
        <v>5.8818123334252368</v>
      </c>
      <c r="O10" s="3">
        <f>Table1[[#This Row],[Anglo'#]]/I10*1000</f>
        <v>1.3148420624236923</v>
      </c>
      <c r="P10" s="3">
        <f>Table1[[#This Row],[Hispanic'#]]/J10*1000</f>
        <v>2.6638500788282169</v>
      </c>
      <c r="R10" s="3">
        <f>Table1[[#This Row],[Other'#]]/K10*1000</f>
        <v>1.3959599277385448</v>
      </c>
    </row>
    <row r="11" spans="1:18" x14ac:dyDescent="0.2">
      <c r="A11" s="3">
        <v>2015</v>
      </c>
      <c r="B11" s="3">
        <v>211</v>
      </c>
      <c r="C11" s="3">
        <v>123</v>
      </c>
      <c r="D11" s="3">
        <v>363</v>
      </c>
      <c r="E11" s="3">
        <f>43+5</f>
        <v>48</v>
      </c>
      <c r="F11" s="3">
        <f>SUM(Table1[[#This Row],[African American'#]:[Other'#]])</f>
        <v>745</v>
      </c>
      <c r="H11" s="3">
        <v>21725</v>
      </c>
      <c r="I11" s="3">
        <v>98320</v>
      </c>
      <c r="J11" s="3">
        <v>132336</v>
      </c>
      <c r="K11" s="3">
        <v>25271</v>
      </c>
      <c r="L11" s="3">
        <v>277652</v>
      </c>
      <c r="N11" s="3">
        <f>Table1[[#This Row],[African American'#]]/H11*1000</f>
        <v>9.7123130034522447</v>
      </c>
      <c r="O11" s="3">
        <f>Table1[[#This Row],[Anglo'#]]/I11*1000</f>
        <v>1.2510170870626525</v>
      </c>
      <c r="P11" s="3">
        <f>Table1[[#This Row],[Hispanic'#]]/J11*1000</f>
        <v>2.7430177729416032</v>
      </c>
      <c r="Q11" s="3" t="e">
        <f>#REF!/#REF!*1000</f>
        <v>#REF!</v>
      </c>
      <c r="R11" s="3">
        <f>Table1[[#This Row],[Other'#]]/K11*1000</f>
        <v>1.8994103913576825</v>
      </c>
    </row>
    <row r="12" spans="1:18" x14ac:dyDescent="0.2">
      <c r="A12" s="12">
        <v>2016</v>
      </c>
      <c r="B12" s="12">
        <v>168</v>
      </c>
      <c r="C12" s="12">
        <v>152</v>
      </c>
      <c r="D12" s="12">
        <v>393</v>
      </c>
      <c r="E12" s="12">
        <f>43+5</f>
        <v>48</v>
      </c>
      <c r="F12" s="12">
        <f>SUM(Table1[[#This Row],[African American'#]:[Other'#]])</f>
        <v>761</v>
      </c>
      <c r="H12" s="3">
        <v>21742</v>
      </c>
      <c r="I12" s="3">
        <v>100957</v>
      </c>
      <c r="J12" s="3">
        <v>135766</v>
      </c>
      <c r="K12" s="3">
        <v>26144</v>
      </c>
      <c r="L12" s="3">
        <v>284609</v>
      </c>
      <c r="N12" s="3">
        <f>Table1[[#This Row],[African American'#]]/H12*1000</f>
        <v>7.7269800386349008</v>
      </c>
      <c r="O12" s="3">
        <f>Table1[[#This Row],[Anglo'#]]/I12*1000</f>
        <v>1.5055914894460016</v>
      </c>
      <c r="P12" s="3">
        <f>Table1[[#This Row],[Hispanic'#]]/J12*1000</f>
        <v>2.8946864457964443</v>
      </c>
      <c r="R12" s="3">
        <f>Table1[[#This Row],[Other'#]]/K12*1000</f>
        <v>1.8359853121175032</v>
      </c>
    </row>
    <row r="13" spans="1:18" x14ac:dyDescent="0.2">
      <c r="A13" s="37">
        <v>2017</v>
      </c>
      <c r="B13" s="40">
        <v>175</v>
      </c>
      <c r="C13" s="40">
        <v>135</v>
      </c>
      <c r="D13" s="40">
        <v>350</v>
      </c>
      <c r="E13" s="40">
        <v>32</v>
      </c>
      <c r="F13" s="41">
        <f>SUM(Table13[[#This Row],[African American'#]:[Other'#]])</f>
        <v>692</v>
      </c>
      <c r="H13" s="3">
        <v>21728</v>
      </c>
      <c r="I13" s="3">
        <v>103640</v>
      </c>
      <c r="J13" s="3">
        <v>139039</v>
      </c>
      <c r="K13" s="3">
        <v>27075</v>
      </c>
      <c r="L13" s="3">
        <v>291482</v>
      </c>
      <c r="N13" s="3">
        <f>B13/H13*1000</f>
        <v>8.0541237113402051</v>
      </c>
      <c r="O13" s="3">
        <f>C13/I13*1000</f>
        <v>1.3025858741798533</v>
      </c>
      <c r="P13" s="3">
        <f>D13/J13*1000</f>
        <v>2.5172793245060738</v>
      </c>
      <c r="R13" s="3">
        <f>E13/K13*1000</f>
        <v>1.1819021237303786</v>
      </c>
    </row>
    <row r="15" spans="1:18" x14ac:dyDescent="0.2">
      <c r="B15" s="3" t="s">
        <v>17</v>
      </c>
      <c r="I15" s="3" t="s">
        <v>18</v>
      </c>
    </row>
    <row r="16" spans="1:18" x14ac:dyDescent="0.2">
      <c r="B16" s="3" t="s">
        <v>15</v>
      </c>
      <c r="C16" s="3" t="s">
        <v>16</v>
      </c>
      <c r="D16" s="3" t="s">
        <v>12</v>
      </c>
      <c r="E16" s="3" t="s">
        <v>14</v>
      </c>
      <c r="G16" s="7"/>
      <c r="H16" s="3" t="s">
        <v>15</v>
      </c>
      <c r="I16" s="3" t="s">
        <v>16</v>
      </c>
      <c r="J16" s="3" t="s">
        <v>12</v>
      </c>
      <c r="K16" s="3" t="s">
        <v>14</v>
      </c>
    </row>
    <row r="17" spans="1:11" x14ac:dyDescent="0.2">
      <c r="A17" s="3">
        <v>2008</v>
      </c>
      <c r="B17" s="7">
        <f t="shared" ref="B17:E26" si="1">B4/$F4</f>
        <v>0.35696821515892418</v>
      </c>
      <c r="C17" s="7">
        <f t="shared" si="1"/>
        <v>0.14669926650366749</v>
      </c>
      <c r="D17" s="7">
        <f t="shared" si="1"/>
        <v>0.4669926650366748</v>
      </c>
      <c r="E17" s="7">
        <f t="shared" si="1"/>
        <v>2.9339853300733496E-2</v>
      </c>
      <c r="F17" s="7"/>
      <c r="G17" s="7"/>
      <c r="H17" s="7">
        <f t="shared" ref="H17:K26" si="2">H4/$L4</f>
        <v>0.10888675721640646</v>
      </c>
      <c r="I17" s="7">
        <f t="shared" si="2"/>
        <v>0.38155547214228452</v>
      </c>
      <c r="J17" s="7">
        <f t="shared" si="2"/>
        <v>0.45690546032540441</v>
      </c>
      <c r="K17" s="7">
        <f t="shared" si="2"/>
        <v>5.2652310315904595E-2</v>
      </c>
    </row>
    <row r="18" spans="1:11" x14ac:dyDescent="0.2">
      <c r="A18" s="3">
        <v>2009</v>
      </c>
      <c r="B18" s="7">
        <f t="shared" si="1"/>
        <v>0.35869565217391303</v>
      </c>
      <c r="C18" s="7">
        <f t="shared" si="1"/>
        <v>0.18478260869565216</v>
      </c>
      <c r="D18" s="7">
        <f t="shared" si="1"/>
        <v>0.41847826086956524</v>
      </c>
      <c r="E18" s="7">
        <f t="shared" si="1"/>
        <v>3.8043478260869568E-2</v>
      </c>
      <c r="F18" s="7"/>
      <c r="G18" s="7"/>
      <c r="H18" s="7">
        <f t="shared" si="2"/>
        <v>0.10731693871081852</v>
      </c>
      <c r="I18" s="7">
        <f t="shared" si="2"/>
        <v>0.37365681549847707</v>
      </c>
      <c r="J18" s="7">
        <f t="shared" si="2"/>
        <v>0.46514726217767016</v>
      </c>
      <c r="K18" s="7">
        <f t="shared" si="2"/>
        <v>5.3878983613034233E-2</v>
      </c>
    </row>
    <row r="19" spans="1:11" x14ac:dyDescent="0.2">
      <c r="A19" s="3">
        <v>2010</v>
      </c>
      <c r="B19" s="7">
        <f t="shared" si="1"/>
        <v>0.37190082644628097</v>
      </c>
      <c r="C19" s="7">
        <f t="shared" si="1"/>
        <v>0.20867768595041322</v>
      </c>
      <c r="D19" s="7">
        <f t="shared" si="1"/>
        <v>0.3987603305785124</v>
      </c>
      <c r="E19" s="7">
        <f t="shared" si="1"/>
        <v>2.0661157024793389E-2</v>
      </c>
      <c r="F19" s="7"/>
      <c r="G19" s="7"/>
      <c r="H19" s="7">
        <f t="shared" si="2"/>
        <v>8.9496688255243081E-2</v>
      </c>
      <c r="I19" s="7">
        <f t="shared" si="2"/>
        <v>0.35829282924619549</v>
      </c>
      <c r="J19" s="7">
        <f t="shared" si="2"/>
        <v>0.46785995584340323</v>
      </c>
      <c r="K19" s="7">
        <f t="shared" si="2"/>
        <v>8.4350526655158201E-2</v>
      </c>
    </row>
    <row r="20" spans="1:11" x14ac:dyDescent="0.2">
      <c r="A20" s="3">
        <v>2011</v>
      </c>
      <c r="B20" s="7">
        <f t="shared" si="1"/>
        <v>0.38277511961722488</v>
      </c>
      <c r="C20" s="7">
        <f t="shared" si="1"/>
        <v>0.17703349282296652</v>
      </c>
      <c r="D20" s="7">
        <f t="shared" si="1"/>
        <v>0.41148325358851673</v>
      </c>
      <c r="E20" s="7">
        <f t="shared" si="1"/>
        <v>2.8708133971291867E-2</v>
      </c>
      <c r="F20" s="7"/>
      <c r="G20" s="7"/>
      <c r="H20" s="7">
        <f t="shared" si="2"/>
        <v>8.6970567121320896E-2</v>
      </c>
      <c r="I20" s="7">
        <f t="shared" si="2"/>
        <v>0.35624551328068915</v>
      </c>
      <c r="J20" s="7">
        <f t="shared" si="2"/>
        <v>0.47071069633883705</v>
      </c>
      <c r="K20" s="7">
        <f t="shared" si="2"/>
        <v>8.6073223259152912E-2</v>
      </c>
    </row>
    <row r="21" spans="1:11" x14ac:dyDescent="0.2">
      <c r="A21" s="3">
        <v>2012</v>
      </c>
      <c r="B21" s="7">
        <f t="shared" si="1"/>
        <v>0.23802163833075735</v>
      </c>
      <c r="C21" s="7">
        <f t="shared" si="1"/>
        <v>0.20092735703245751</v>
      </c>
      <c r="D21" s="7">
        <f t="shared" si="1"/>
        <v>0.49768160741885625</v>
      </c>
      <c r="E21" s="7">
        <f t="shared" si="1"/>
        <v>6.3369397217928905E-2</v>
      </c>
      <c r="F21" s="7"/>
      <c r="G21" s="7"/>
      <c r="H21" s="7">
        <f t="shared" si="2"/>
        <v>8.4559853128792356E-2</v>
      </c>
      <c r="I21" s="7">
        <f t="shared" si="2"/>
        <v>0.35502302641814731</v>
      </c>
      <c r="J21" s="7">
        <f t="shared" si="2"/>
        <v>0.473064536204375</v>
      </c>
      <c r="K21" s="7">
        <f t="shared" si="2"/>
        <v>8.7352584248685319E-2</v>
      </c>
    </row>
    <row r="22" spans="1:11" x14ac:dyDescent="0.2">
      <c r="A22" s="3">
        <v>2013</v>
      </c>
      <c r="B22" s="7">
        <f t="shared" si="1"/>
        <v>0.23161189358372458</v>
      </c>
      <c r="C22" s="7">
        <f t="shared" si="1"/>
        <v>0.20344287949921752</v>
      </c>
      <c r="D22" s="7">
        <f t="shared" si="1"/>
        <v>0.50234741784037562</v>
      </c>
      <c r="E22" s="7">
        <f t="shared" si="1"/>
        <v>6.2597809076682318E-2</v>
      </c>
      <c r="F22" s="7"/>
      <c r="H22" s="7">
        <f t="shared" si="2"/>
        <v>8.2372734920310123E-2</v>
      </c>
      <c r="I22" s="7">
        <f t="shared" si="2"/>
        <v>0.35452712790547863</v>
      </c>
      <c r="J22" s="7">
        <f t="shared" si="2"/>
        <v>0.47443330377645909</v>
      </c>
      <c r="K22" s="7">
        <f t="shared" si="2"/>
        <v>8.8666833397752165E-2</v>
      </c>
    </row>
    <row r="23" spans="1:11" x14ac:dyDescent="0.2">
      <c r="A23" s="3">
        <v>2014</v>
      </c>
      <c r="B23" s="7">
        <f t="shared" si="1"/>
        <v>0.20285261489698891</v>
      </c>
      <c r="C23" s="7">
        <f t="shared" si="1"/>
        <v>0.19968304278922344</v>
      </c>
      <c r="D23" s="7">
        <f t="shared" si="1"/>
        <v>0.54358161648177494</v>
      </c>
      <c r="E23" s="7">
        <f t="shared" si="1"/>
        <v>5.388272583201268E-2</v>
      </c>
      <c r="F23" s="7"/>
      <c r="H23" s="7">
        <f t="shared" si="2"/>
        <v>8.038920164900927E-2</v>
      </c>
      <c r="I23" s="7">
        <f t="shared" si="2"/>
        <v>0.35399397136397892</v>
      </c>
      <c r="J23" s="7">
        <f t="shared" si="2"/>
        <v>0.47564534479956261</v>
      </c>
      <c r="K23" s="7">
        <f t="shared" si="2"/>
        <v>8.99714821874492E-2</v>
      </c>
    </row>
    <row r="24" spans="1:11" x14ac:dyDescent="0.2">
      <c r="A24" s="3">
        <v>2015</v>
      </c>
      <c r="B24" s="7">
        <f t="shared" si="1"/>
        <v>0.28322147651006713</v>
      </c>
      <c r="C24" s="7">
        <f t="shared" si="1"/>
        <v>0.1651006711409396</v>
      </c>
      <c r="D24" s="7">
        <f t="shared" si="1"/>
        <v>0.48724832214765101</v>
      </c>
      <c r="E24" s="7">
        <f t="shared" si="1"/>
        <v>6.4429530201342289E-2</v>
      </c>
      <c r="H24" s="7">
        <f t="shared" si="2"/>
        <v>7.8245429530491406E-2</v>
      </c>
      <c r="I24" s="7">
        <f t="shared" si="2"/>
        <v>0.35411234206848863</v>
      </c>
      <c r="J24" s="7">
        <f t="shared" si="2"/>
        <v>0.4766254159883595</v>
      </c>
      <c r="K24" s="7">
        <f t="shared" si="2"/>
        <v>9.101681241266045E-2</v>
      </c>
    </row>
    <row r="25" spans="1:11" x14ac:dyDescent="0.2">
      <c r="A25" s="3">
        <v>2016</v>
      </c>
      <c r="B25" s="7">
        <f t="shared" si="1"/>
        <v>0.22076215505913271</v>
      </c>
      <c r="C25" s="7">
        <f t="shared" si="1"/>
        <v>0.19973718791064388</v>
      </c>
      <c r="D25" s="7">
        <f t="shared" si="1"/>
        <v>0.5164257555847569</v>
      </c>
      <c r="E25" s="7">
        <f t="shared" si="1"/>
        <v>6.3074901445466486E-2</v>
      </c>
      <c r="H25" s="7">
        <f t="shared" si="2"/>
        <v>7.6392524480954571E-2</v>
      </c>
      <c r="I25" s="7">
        <f t="shared" si="2"/>
        <v>0.35472174105527232</v>
      </c>
      <c r="J25" s="7">
        <f t="shared" si="2"/>
        <v>0.47702637653763585</v>
      </c>
      <c r="K25" s="7">
        <f t="shared" si="2"/>
        <v>9.1859357926137267E-2</v>
      </c>
    </row>
    <row r="26" spans="1:11" x14ac:dyDescent="0.2">
      <c r="A26" s="3">
        <v>2017</v>
      </c>
      <c r="B26" s="7">
        <f t="shared" si="1"/>
        <v>0.25289017341040465</v>
      </c>
      <c r="C26" s="7">
        <f t="shared" si="1"/>
        <v>0.19508670520231214</v>
      </c>
      <c r="D26" s="7">
        <f t="shared" si="1"/>
        <v>0.5057803468208093</v>
      </c>
      <c r="E26" s="7">
        <f t="shared" si="1"/>
        <v>4.6242774566473986E-2</v>
      </c>
      <c r="H26" s="7">
        <f t="shared" si="2"/>
        <v>7.4543196492407759E-2</v>
      </c>
      <c r="I26" s="7">
        <f t="shared" si="2"/>
        <v>0.35556226456522189</v>
      </c>
      <c r="J26" s="7">
        <f t="shared" si="2"/>
        <v>0.47700715653110654</v>
      </c>
      <c r="K26" s="7">
        <f t="shared" si="2"/>
        <v>9.2887382411263819E-2</v>
      </c>
    </row>
    <row r="28" spans="1:11" x14ac:dyDescent="0.2">
      <c r="A28" s="3" t="s">
        <v>21</v>
      </c>
    </row>
    <row r="29" spans="1:11" x14ac:dyDescent="0.2">
      <c r="B29" s="3" t="s">
        <v>15</v>
      </c>
      <c r="C29" s="3" t="s">
        <v>16</v>
      </c>
      <c r="D29" s="3" t="s">
        <v>12</v>
      </c>
      <c r="E29" s="3" t="s">
        <v>14</v>
      </c>
    </row>
    <row r="30" spans="1:11" x14ac:dyDescent="0.2">
      <c r="A30" s="3">
        <v>2008</v>
      </c>
      <c r="B30" s="8">
        <f t="shared" ref="B30:B39" si="3">B17/H17</f>
        <v>3.2783437057407214</v>
      </c>
      <c r="C30" s="8">
        <f t="shared" ref="C30:C39" si="4">C17/I17</f>
        <v>0.38447690365966597</v>
      </c>
      <c r="D30" s="8">
        <f t="shared" ref="D30:D39" si="5">D17/J17</f>
        <v>1.0220772251311823</v>
      </c>
      <c r="E30" s="8">
        <f t="shared" ref="E30:E39" si="6">E17/K17</f>
        <v>0.55723771900415275</v>
      </c>
    </row>
    <row r="31" spans="1:11" x14ac:dyDescent="0.2">
      <c r="A31" s="3">
        <v>2009</v>
      </c>
      <c r="B31" s="8">
        <f t="shared" si="3"/>
        <v>3.3423954921083978</v>
      </c>
      <c r="C31" s="8">
        <f t="shared" si="4"/>
        <v>0.49452492509508444</v>
      </c>
      <c r="D31" s="8">
        <f t="shared" si="5"/>
        <v>0.89966833064949014</v>
      </c>
      <c r="E31" s="8">
        <f t="shared" si="6"/>
        <v>0.7060912383593333</v>
      </c>
    </row>
    <row r="32" spans="1:11" x14ac:dyDescent="0.2">
      <c r="A32" s="3">
        <v>2010</v>
      </c>
      <c r="B32" s="8">
        <f t="shared" si="3"/>
        <v>4.1554702603701488</v>
      </c>
      <c r="C32" s="8">
        <f t="shared" si="4"/>
        <v>0.58242216677750902</v>
      </c>
      <c r="D32" s="8">
        <f t="shared" si="5"/>
        <v>0.85230703247443751</v>
      </c>
      <c r="E32" s="8">
        <f t="shared" si="6"/>
        <v>0.24494401925029261</v>
      </c>
    </row>
    <row r="33" spans="1:5" x14ac:dyDescent="0.2">
      <c r="A33" s="3">
        <v>2011</v>
      </c>
      <c r="B33" s="8">
        <f t="shared" si="3"/>
        <v>4.4012029849508396</v>
      </c>
      <c r="C33" s="8">
        <f t="shared" si="4"/>
        <v>0.49694237884613068</v>
      </c>
      <c r="D33" s="8">
        <f t="shared" si="5"/>
        <v>0.8741744277090191</v>
      </c>
      <c r="E33" s="8">
        <f t="shared" si="6"/>
        <v>0.33353153145962944</v>
      </c>
    </row>
    <row r="34" spans="1:5" x14ac:dyDescent="0.2">
      <c r="A34" s="3">
        <v>2012</v>
      </c>
      <c r="B34" s="8">
        <f t="shared" si="3"/>
        <v>2.8148303186883346</v>
      </c>
      <c r="C34" s="8">
        <f t="shared" si="4"/>
        <v>0.56595584534228094</v>
      </c>
      <c r="D34" s="8">
        <f t="shared" si="5"/>
        <v>1.0520374480234682</v>
      </c>
      <c r="E34" s="8">
        <f t="shared" si="6"/>
        <v>0.72544387510644981</v>
      </c>
    </row>
    <row r="35" spans="1:5" x14ac:dyDescent="0.2">
      <c r="A35" s="3">
        <v>2013</v>
      </c>
      <c r="B35" s="8">
        <f t="shared" si="3"/>
        <v>2.8117543239008991</v>
      </c>
      <c r="C35" s="8">
        <f t="shared" si="4"/>
        <v>0.57384291210983984</v>
      </c>
      <c r="D35" s="8">
        <f t="shared" si="5"/>
        <v>1.0588367507966281</v>
      </c>
      <c r="E35" s="8">
        <f t="shared" si="6"/>
        <v>0.70598900037259327</v>
      </c>
    </row>
    <row r="36" spans="1:5" x14ac:dyDescent="0.2">
      <c r="A36" s="3">
        <v>2014</v>
      </c>
      <c r="B36" s="8">
        <f t="shared" si="3"/>
        <v>2.5233813837668446</v>
      </c>
      <c r="C36" s="8">
        <f t="shared" si="4"/>
        <v>0.56408599847003615</v>
      </c>
      <c r="D36" s="8">
        <f t="shared" si="5"/>
        <v>1.1428296785093961</v>
      </c>
      <c r="E36" s="8">
        <f t="shared" si="6"/>
        <v>0.59888671968026319</v>
      </c>
    </row>
    <row r="37" spans="1:5" x14ac:dyDescent="0.2">
      <c r="A37" s="3">
        <v>2015</v>
      </c>
      <c r="B37" s="8">
        <f t="shared" si="3"/>
        <v>3.6196552081000304</v>
      </c>
      <c r="C37" s="8">
        <f t="shared" si="4"/>
        <v>0.46623811578136859</v>
      </c>
      <c r="D37" s="8">
        <f t="shared" si="5"/>
        <v>1.0222877458963517</v>
      </c>
      <c r="E37" s="8">
        <f t="shared" si="6"/>
        <v>0.70788603218958845</v>
      </c>
    </row>
    <row r="38" spans="1:5" x14ac:dyDescent="0.2">
      <c r="A38" s="3">
        <v>2016</v>
      </c>
      <c r="B38" s="8">
        <f t="shared" si="3"/>
        <v>2.8898397658552435</v>
      </c>
      <c r="C38" s="8">
        <f t="shared" si="4"/>
        <v>0.56308132486167817</v>
      </c>
      <c r="D38" s="8">
        <f t="shared" si="5"/>
        <v>1.0825937117630486</v>
      </c>
      <c r="E38" s="8">
        <f t="shared" si="6"/>
        <v>0.68664644375354844</v>
      </c>
    </row>
    <row r="39" spans="1:5" x14ac:dyDescent="0.2">
      <c r="A39" s="3">
        <v>2017</v>
      </c>
      <c r="B39" s="8">
        <f t="shared" si="3"/>
        <v>3.3925319185388241</v>
      </c>
      <c r="C39" s="8">
        <f t="shared" si="4"/>
        <v>0.54867100545909242</v>
      </c>
      <c r="D39" s="8">
        <f t="shared" si="5"/>
        <v>1.060320248649826</v>
      </c>
      <c r="E39" s="8">
        <f t="shared" si="6"/>
        <v>0.49783698674736732</v>
      </c>
    </row>
    <row r="41" spans="1:5" x14ac:dyDescent="0.2">
      <c r="A41" s="3" t="s">
        <v>22</v>
      </c>
    </row>
    <row r="42" spans="1:5" x14ac:dyDescent="0.2">
      <c r="A42" s="9"/>
      <c r="B42" s="9" t="s">
        <v>23</v>
      </c>
    </row>
    <row r="43" spans="1:5" x14ac:dyDescent="0.2">
      <c r="A43" s="3">
        <v>2008</v>
      </c>
      <c r="B43" s="10">
        <f>B30/C30</f>
        <v>8.5267637003305392</v>
      </c>
    </row>
    <row r="44" spans="1:5" x14ac:dyDescent="0.2">
      <c r="A44" s="3">
        <v>2009</v>
      </c>
      <c r="B44" s="10">
        <f t="shared" ref="B44:B49" si="7">B31/C31</f>
        <v>6.7588008662369061</v>
      </c>
    </row>
    <row r="45" spans="1:5" x14ac:dyDescent="0.2">
      <c r="A45" s="3">
        <v>2010</v>
      </c>
      <c r="B45" s="10">
        <f t="shared" si="7"/>
        <v>7.1348078720320736</v>
      </c>
    </row>
    <row r="46" spans="1:5" x14ac:dyDescent="0.2">
      <c r="A46" s="3">
        <v>2011</v>
      </c>
      <c r="B46" s="10">
        <f t="shared" si="7"/>
        <v>8.8565660171107954</v>
      </c>
    </row>
    <row r="47" spans="1:5" x14ac:dyDescent="0.2">
      <c r="A47" s="3">
        <v>2012</v>
      </c>
      <c r="B47" s="10">
        <f t="shared" si="7"/>
        <v>4.9735864411577388</v>
      </c>
    </row>
    <row r="48" spans="1:5" x14ac:dyDescent="0.2">
      <c r="A48" s="3">
        <v>2013</v>
      </c>
      <c r="B48" s="10">
        <f t="shared" si="7"/>
        <v>4.8998676546565036</v>
      </c>
    </row>
    <row r="49" spans="1:2" x14ac:dyDescent="0.2">
      <c r="A49" s="3">
        <v>2014</v>
      </c>
      <c r="B49" s="10">
        <f t="shared" si="7"/>
        <v>4.4733983658714846</v>
      </c>
    </row>
    <row r="50" spans="1:2" x14ac:dyDescent="0.2">
      <c r="A50" s="3">
        <v>2015</v>
      </c>
      <c r="B50" s="10">
        <f>B37/C37</f>
        <v>7.7635334512148351</v>
      </c>
    </row>
    <row r="51" spans="1:2" x14ac:dyDescent="0.2">
      <c r="A51" s="3">
        <v>2016</v>
      </c>
      <c r="B51" s="10">
        <f>B38/C38</f>
        <v>5.132188972108314</v>
      </c>
    </row>
    <row r="52" spans="1:2" x14ac:dyDescent="0.2">
      <c r="A52" s="3">
        <v>2017</v>
      </c>
      <c r="B52" s="10">
        <f>B39/C39</f>
        <v>6.1831806032836978</v>
      </c>
    </row>
    <row r="54" spans="1:2" x14ac:dyDescent="0.2">
      <c r="A54" s="3" t="s">
        <v>43</v>
      </c>
    </row>
    <row r="55" spans="1:2" x14ac:dyDescent="0.2">
      <c r="A55" s="3" t="s">
        <v>32</v>
      </c>
    </row>
    <row r="56" spans="1:2" x14ac:dyDescent="0.2">
      <c r="A56" s="3" t="s">
        <v>26</v>
      </c>
    </row>
    <row r="57" spans="1:2" x14ac:dyDescent="0.2">
      <c r="A57" s="3" t="s">
        <v>25</v>
      </c>
    </row>
  </sheetData>
  <pageMargins left="0.75" right="0.75" top="1" bottom="1" header="0.5" footer="0.5"/>
  <pageSetup orientation="portrait" r:id="rId1"/>
  <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zoomScale="96" zoomScaleNormal="96" workbookViewId="0">
      <selection activeCell="G25" sqref="G25"/>
    </sheetView>
  </sheetViews>
  <sheetFormatPr defaultColWidth="11" defaultRowHeight="11.25" x14ac:dyDescent="0.2"/>
  <cols>
    <col min="1" max="1" width="17.375" style="3" customWidth="1"/>
    <col min="2" max="2" width="14.625" style="3" customWidth="1"/>
    <col min="3" max="3" width="20" style="3" bestFit="1" customWidth="1"/>
    <col min="4" max="4" width="11" style="3"/>
    <col min="5" max="5" width="15.125" style="3" hidden="1" customWidth="1"/>
    <col min="6" max="16384" width="11" style="3"/>
  </cols>
  <sheetData>
    <row r="1" spans="1:19" x14ac:dyDescent="0.2">
      <c r="A1" s="5" t="s">
        <v>29</v>
      </c>
    </row>
    <row r="2" spans="1:19" x14ac:dyDescent="0.2">
      <c r="B2" s="5" t="s">
        <v>17</v>
      </c>
      <c r="I2" s="5" t="s">
        <v>27</v>
      </c>
    </row>
    <row r="3" spans="1:19" x14ac:dyDescent="0.2">
      <c r="A3" s="3" t="s">
        <v>0</v>
      </c>
      <c r="B3" s="3" t="s">
        <v>5</v>
      </c>
      <c r="C3" s="3" t="s">
        <v>6</v>
      </c>
      <c r="D3" s="3" t="s">
        <v>7</v>
      </c>
      <c r="E3" s="3" t="s">
        <v>8</v>
      </c>
      <c r="F3" s="3" t="s">
        <v>9</v>
      </c>
      <c r="G3" s="3" t="s">
        <v>19</v>
      </c>
      <c r="I3" s="3" t="s">
        <v>1</v>
      </c>
      <c r="J3" s="3" t="s">
        <v>2</v>
      </c>
      <c r="K3" s="3" t="s">
        <v>3</v>
      </c>
      <c r="L3" s="3" t="s">
        <v>4</v>
      </c>
      <c r="M3" s="3" t="s">
        <v>20</v>
      </c>
      <c r="O3" s="3" t="s">
        <v>10</v>
      </c>
      <c r="P3" s="3" t="s">
        <v>11</v>
      </c>
      <c r="Q3" s="3" t="s">
        <v>12</v>
      </c>
      <c r="R3" s="3" t="s">
        <v>13</v>
      </c>
      <c r="S3" s="3" t="s">
        <v>14</v>
      </c>
    </row>
    <row r="4" spans="1:19" x14ac:dyDescent="0.2">
      <c r="A4" s="3">
        <v>2008</v>
      </c>
      <c r="B4" s="3">
        <v>146</v>
      </c>
      <c r="C4" s="3">
        <v>60</v>
      </c>
      <c r="D4" s="3">
        <v>191</v>
      </c>
      <c r="E4" s="3">
        <v>1</v>
      </c>
      <c r="F4" s="3">
        <v>11</v>
      </c>
      <c r="G4" s="3">
        <f>SUM(Table13[[#This Row],[African American'#]:[Other'#]])</f>
        <v>409</v>
      </c>
      <c r="I4" s="3">
        <v>479</v>
      </c>
      <c r="J4" s="3">
        <v>341</v>
      </c>
      <c r="K4" s="3">
        <v>1072</v>
      </c>
      <c r="L4" s="3">
        <v>62</v>
      </c>
      <c r="M4" s="3">
        <f t="shared" ref="M4:M10" si="0">SUM(I4:L4)</f>
        <v>1954</v>
      </c>
      <c r="O4" s="3">
        <f>Table13[[#This Row],[African American'#]]/I4*1000</f>
        <v>304.80167014613778</v>
      </c>
      <c r="P4" s="3">
        <f>Table13[[#This Row],[Anglo'#]]/J4*1000</f>
        <v>175.95307917888564</v>
      </c>
      <c r="Q4" s="3">
        <f>Table13[[#This Row],[Hispanic'#]]/K4*1000</f>
        <v>178.17164179104478</v>
      </c>
      <c r="R4" s="3" t="e">
        <f>Table13[[#This Row],[Native American'#]]/#REF!*1000</f>
        <v>#REF!</v>
      </c>
      <c r="S4" s="3">
        <f>Table13[[#This Row],[Other'#]]/L4*1000</f>
        <v>177.41935483870969</v>
      </c>
    </row>
    <row r="5" spans="1:19" x14ac:dyDescent="0.2">
      <c r="A5" s="3">
        <v>2009</v>
      </c>
      <c r="B5" s="3">
        <v>132</v>
      </c>
      <c r="C5" s="3">
        <v>68</v>
      </c>
      <c r="D5" s="3">
        <v>154</v>
      </c>
      <c r="E5" s="3">
        <v>0</v>
      </c>
      <c r="F5" s="3">
        <v>14</v>
      </c>
      <c r="G5" s="3">
        <f>SUM(Table13[[#This Row],[African American'#]:[Other'#]])</f>
        <v>368</v>
      </c>
      <c r="I5" s="3">
        <v>493</v>
      </c>
      <c r="J5" s="3">
        <v>342</v>
      </c>
      <c r="K5" s="3">
        <v>898</v>
      </c>
      <c r="L5" s="3">
        <v>44</v>
      </c>
      <c r="M5" s="3">
        <f t="shared" si="0"/>
        <v>1777</v>
      </c>
      <c r="O5" s="3">
        <f>Table13[[#This Row],[African American'#]]/I5*1000</f>
        <v>267.74847870182555</v>
      </c>
      <c r="P5" s="3">
        <f>Table13[[#This Row],[Anglo'#]]/J5*1000</f>
        <v>198.83040935672514</v>
      </c>
      <c r="Q5" s="3">
        <f>Table13[[#This Row],[Hispanic'#]]/K5*1000</f>
        <v>171.49220489977728</v>
      </c>
      <c r="R5" s="3" t="e">
        <f>Table13[[#This Row],[Native American'#]]/#REF!*1000</f>
        <v>#REF!</v>
      </c>
      <c r="S5" s="3">
        <f>Table13[[#This Row],[Other'#]]/L5*1000</f>
        <v>318.18181818181819</v>
      </c>
    </row>
    <row r="6" spans="1:19" x14ac:dyDescent="0.2">
      <c r="A6" s="3">
        <v>2010</v>
      </c>
      <c r="B6" s="3">
        <v>180</v>
      </c>
      <c r="C6" s="3">
        <v>101</v>
      </c>
      <c r="D6" s="3">
        <v>193</v>
      </c>
      <c r="E6" s="3">
        <v>0</v>
      </c>
      <c r="F6" s="3">
        <v>10</v>
      </c>
      <c r="G6" s="3">
        <f>SUM(Table13[[#This Row],[African American'#]:[Other'#]])</f>
        <v>484</v>
      </c>
      <c r="I6" s="3">
        <v>408</v>
      </c>
      <c r="J6" s="3">
        <v>346</v>
      </c>
      <c r="K6" s="3">
        <v>939</v>
      </c>
      <c r="L6" s="3">
        <v>38</v>
      </c>
      <c r="M6" s="3">
        <f t="shared" si="0"/>
        <v>1731</v>
      </c>
      <c r="O6" s="3">
        <f>Table13[[#This Row],[African American'#]]/I6*1000</f>
        <v>441.1764705882353</v>
      </c>
      <c r="P6" s="3">
        <f>Table13[[#This Row],[Anglo'#]]/J6*1000</f>
        <v>291.90751445086704</v>
      </c>
      <c r="Q6" s="3">
        <f>Table13[[#This Row],[Hispanic'#]]/K6*1000</f>
        <v>205.53780617678379</v>
      </c>
      <c r="R6" s="3" t="e">
        <f>Table13[[#This Row],[Native American'#]]/#REF!*1000</f>
        <v>#REF!</v>
      </c>
      <c r="S6" s="3">
        <f>Table13[[#This Row],[Other'#]]/L6*1000</f>
        <v>263.15789473684208</v>
      </c>
    </row>
    <row r="7" spans="1:19" x14ac:dyDescent="0.2">
      <c r="A7" s="3">
        <v>2011</v>
      </c>
      <c r="B7" s="3">
        <v>240</v>
      </c>
      <c r="C7" s="3">
        <v>111</v>
      </c>
      <c r="D7" s="3">
        <v>258</v>
      </c>
      <c r="E7" s="3">
        <v>0</v>
      </c>
      <c r="F7" s="3">
        <v>18</v>
      </c>
      <c r="G7" s="3">
        <f>SUM(Table13[[#This Row],[African American'#]:[Other'#]])</f>
        <v>627</v>
      </c>
      <c r="I7" s="6">
        <v>641</v>
      </c>
      <c r="J7" s="6">
        <v>484</v>
      </c>
      <c r="K7" s="6">
        <v>1292</v>
      </c>
      <c r="L7" s="6">
        <v>65</v>
      </c>
      <c r="M7" s="3">
        <f t="shared" si="0"/>
        <v>2482</v>
      </c>
      <c r="O7" s="3">
        <f>Table13[[#This Row],[African American'#]]/I7*1000</f>
        <v>374.41497659906395</v>
      </c>
      <c r="P7" s="3">
        <f>Table13[[#This Row],[Anglo'#]]/J7*1000</f>
        <v>229.33884297520663</v>
      </c>
      <c r="Q7" s="3">
        <f>Table13[[#This Row],[Hispanic'#]]/K7*1000</f>
        <v>199.69040247678018</v>
      </c>
      <c r="R7" s="3" t="e">
        <f>Table13[[#This Row],[Native American'#]]/#REF!*1000</f>
        <v>#REF!</v>
      </c>
      <c r="S7" s="3">
        <f>Table13[[#This Row],[Other'#]]/L7*1000</f>
        <v>276.92307692307696</v>
      </c>
    </row>
    <row r="8" spans="1:19" x14ac:dyDescent="0.2">
      <c r="A8" s="3">
        <v>2012</v>
      </c>
      <c r="B8" s="3">
        <v>154</v>
      </c>
      <c r="C8" s="3">
        <v>130</v>
      </c>
      <c r="D8" s="3">
        <v>322</v>
      </c>
      <c r="E8" s="3">
        <v>1</v>
      </c>
      <c r="F8" s="3">
        <v>40</v>
      </c>
      <c r="G8" s="3">
        <f>SUM(Table13[[#This Row],[African American'#]:[Other'#]])</f>
        <v>647</v>
      </c>
      <c r="I8" s="6">
        <v>595</v>
      </c>
      <c r="J8" s="6">
        <v>581</v>
      </c>
      <c r="K8" s="6">
        <v>1725</v>
      </c>
      <c r="L8" s="6">
        <v>142</v>
      </c>
      <c r="M8" s="3">
        <f t="shared" si="0"/>
        <v>3043</v>
      </c>
      <c r="O8" s="3">
        <f>Table13[[#This Row],[African American'#]]/I8*1000</f>
        <v>258.82352941176475</v>
      </c>
      <c r="P8" s="3">
        <f>Table13[[#This Row],[Anglo'#]]/J8*1000</f>
        <v>223.75215146299485</v>
      </c>
      <c r="Q8" s="3">
        <f>Table13[[#This Row],[Hispanic'#]]/K8*1000</f>
        <v>186.66666666666669</v>
      </c>
      <c r="R8" s="3" t="e">
        <f>Table13[[#This Row],[Native American'#]]/#REF!*1000</f>
        <v>#REF!</v>
      </c>
      <c r="S8" s="3">
        <f>Table13[[#This Row],[Other'#]]/L8*1000</f>
        <v>281.69014084507046</v>
      </c>
    </row>
    <row r="9" spans="1:19" x14ac:dyDescent="0.2">
      <c r="A9" s="3">
        <v>2013</v>
      </c>
      <c r="B9" s="3">
        <v>148</v>
      </c>
      <c r="C9" s="3">
        <v>130</v>
      </c>
      <c r="D9" s="3">
        <v>321</v>
      </c>
      <c r="E9" s="3">
        <v>0</v>
      </c>
      <c r="F9" s="3">
        <v>40</v>
      </c>
      <c r="G9" s="3">
        <f>SUM(Table13[[#This Row],[African American'#]:[Other'#]])</f>
        <v>639</v>
      </c>
      <c r="I9" s="4">
        <v>501</v>
      </c>
      <c r="J9" s="4">
        <v>505</v>
      </c>
      <c r="K9" s="4">
        <v>1500</v>
      </c>
      <c r="L9" s="4">
        <v>138</v>
      </c>
      <c r="M9" s="3">
        <f t="shared" si="0"/>
        <v>2644</v>
      </c>
      <c r="O9" s="3">
        <f>Table13[[#This Row],[African American'#]]/I9*1000</f>
        <v>295.40918163672654</v>
      </c>
      <c r="P9" s="3">
        <f>Table13[[#This Row],[Anglo'#]]/J9*1000</f>
        <v>257.42574257425741</v>
      </c>
      <c r="Q9" s="3">
        <f>Table13[[#This Row],[Hispanic'#]]/K9*1000</f>
        <v>214</v>
      </c>
      <c r="R9" s="3" t="e">
        <f>Table13[[#This Row],[Native American'#]]/#REF!*1000</f>
        <v>#REF!</v>
      </c>
      <c r="S9" s="3">
        <f>Table13[[#This Row],[Other'#]]/L9*1000</f>
        <v>289.85507246376812</v>
      </c>
    </row>
    <row r="10" spans="1:19" x14ac:dyDescent="0.2">
      <c r="A10" s="3">
        <v>2014</v>
      </c>
      <c r="B10" s="3">
        <v>128</v>
      </c>
      <c r="C10" s="3">
        <v>126</v>
      </c>
      <c r="D10" s="3">
        <v>343</v>
      </c>
      <c r="E10" s="3">
        <v>0</v>
      </c>
      <c r="F10" s="3">
        <v>34</v>
      </c>
      <c r="G10" s="3">
        <f>SUM(Table13[[#This Row],[African American'#]:[Other'#]])</f>
        <v>631</v>
      </c>
      <c r="I10" s="4">
        <v>352</v>
      </c>
      <c r="J10" s="4">
        <v>427</v>
      </c>
      <c r="K10" s="4">
        <v>1281</v>
      </c>
      <c r="L10" s="4">
        <v>97</v>
      </c>
      <c r="M10" s="3">
        <f t="shared" si="0"/>
        <v>2157</v>
      </c>
      <c r="O10" s="3">
        <f>Table13[[#This Row],[African American'#]]/I10*1000</f>
        <v>363.63636363636363</v>
      </c>
      <c r="P10" s="3">
        <f>Table13[[#This Row],[Anglo'#]]/J10*1000</f>
        <v>295.08196721311475</v>
      </c>
      <c r="Q10" s="3">
        <f>Table13[[#This Row],[Hispanic'#]]/K10*1000</f>
        <v>267.75956284153006</v>
      </c>
      <c r="R10" s="3" t="e">
        <f>Table13[[#This Row],[Native American'#]]/#REF!*1000</f>
        <v>#REF!</v>
      </c>
      <c r="S10" s="3">
        <f>Table13[[#This Row],[Other'#]]/L10*1000</f>
        <v>350.51546391752572</v>
      </c>
    </row>
    <row r="11" spans="1:19" x14ac:dyDescent="0.2">
      <c r="A11" s="3">
        <v>2015</v>
      </c>
      <c r="B11" s="3">
        <v>211</v>
      </c>
      <c r="C11" s="3">
        <v>123</v>
      </c>
      <c r="D11" s="3">
        <v>362</v>
      </c>
      <c r="E11" s="3">
        <v>0</v>
      </c>
      <c r="F11" s="3">
        <v>43</v>
      </c>
      <c r="G11" s="3">
        <f>SUM(Table13[[#This Row],[African American'#]:[Other'#]])</f>
        <v>739</v>
      </c>
      <c r="I11" s="4">
        <v>489</v>
      </c>
      <c r="J11" s="4">
        <v>446</v>
      </c>
      <c r="K11" s="4">
        <v>1441</v>
      </c>
      <c r="L11" s="4">
        <v>119</v>
      </c>
      <c r="M11" s="3">
        <v>2495</v>
      </c>
    </row>
    <row r="12" spans="1:19" x14ac:dyDescent="0.2">
      <c r="A12" s="12">
        <v>2016</v>
      </c>
      <c r="B12" s="12">
        <v>168</v>
      </c>
      <c r="C12" s="12">
        <v>152</v>
      </c>
      <c r="D12" s="12">
        <v>393</v>
      </c>
      <c r="E12" s="12">
        <v>0</v>
      </c>
      <c r="F12" s="12">
        <v>44</v>
      </c>
      <c r="G12" s="12">
        <f>SUM(Table13[[#This Row],[African American'#]:[Other'#]])</f>
        <v>757</v>
      </c>
      <c r="I12" s="4">
        <v>382</v>
      </c>
      <c r="J12" s="4">
        <v>336</v>
      </c>
      <c r="K12" s="4">
        <v>1275</v>
      </c>
      <c r="L12" s="4">
        <v>112</v>
      </c>
      <c r="M12" s="3">
        <v>2105</v>
      </c>
    </row>
    <row r="13" spans="1:19" x14ac:dyDescent="0.2">
      <c r="A13" s="36">
        <v>2017</v>
      </c>
      <c r="B13" s="36">
        <v>175</v>
      </c>
      <c r="C13" s="36">
        <v>135</v>
      </c>
      <c r="D13" s="36">
        <v>350</v>
      </c>
      <c r="E13" s="36"/>
      <c r="F13" s="36">
        <v>32</v>
      </c>
      <c r="G13" s="36">
        <f>SUM(Table13[[#This Row],[African American'#]:[Other'#]])</f>
        <v>692</v>
      </c>
      <c r="I13" s="4"/>
      <c r="J13" s="4"/>
      <c r="K13" s="4"/>
      <c r="L13" s="4"/>
    </row>
    <row r="14" spans="1:19" x14ac:dyDescent="0.2">
      <c r="M14" s="4"/>
    </row>
    <row r="15" spans="1:19" x14ac:dyDescent="0.2">
      <c r="B15" s="3" t="s">
        <v>17</v>
      </c>
      <c r="I15" s="3" t="s">
        <v>30</v>
      </c>
    </row>
    <row r="16" spans="1:19" x14ac:dyDescent="0.2">
      <c r="B16" s="3" t="s">
        <v>15</v>
      </c>
      <c r="C16" s="3" t="s">
        <v>16</v>
      </c>
      <c r="D16" s="3" t="s">
        <v>12</v>
      </c>
      <c r="E16" s="3" t="s">
        <v>13</v>
      </c>
      <c r="F16" s="3" t="s">
        <v>14</v>
      </c>
      <c r="I16" s="3" t="s">
        <v>1</v>
      </c>
      <c r="J16" s="3" t="s">
        <v>2</v>
      </c>
      <c r="K16" s="3" t="s">
        <v>3</v>
      </c>
      <c r="L16" s="3" t="s">
        <v>4</v>
      </c>
      <c r="M16" s="3" t="s">
        <v>20</v>
      </c>
    </row>
    <row r="17" spans="1:13" x14ac:dyDescent="0.2">
      <c r="A17" s="3">
        <v>2008</v>
      </c>
      <c r="B17" s="7">
        <f t="shared" ref="B17:F24" si="1">B4/$G4</f>
        <v>0.35696821515892418</v>
      </c>
      <c r="C17" s="7">
        <f t="shared" si="1"/>
        <v>0.14669926650366749</v>
      </c>
      <c r="D17" s="7">
        <f t="shared" si="1"/>
        <v>0.4669926650366748</v>
      </c>
      <c r="E17" s="7">
        <f t="shared" si="1"/>
        <v>2.4449877750611247E-3</v>
      </c>
      <c r="F17" s="7">
        <f t="shared" si="1"/>
        <v>2.6894865525672371E-2</v>
      </c>
      <c r="G17" s="7"/>
      <c r="H17" s="7"/>
      <c r="I17" s="11">
        <f t="shared" ref="I17:M25" si="2">I4/$M4</f>
        <v>0.24513817809621288</v>
      </c>
      <c r="J17" s="11">
        <f t="shared" si="2"/>
        <v>0.1745138178096213</v>
      </c>
      <c r="K17" s="11">
        <f t="shared" si="2"/>
        <v>0.548618219037871</v>
      </c>
      <c r="L17" s="11">
        <f t="shared" si="2"/>
        <v>3.1729785056294778E-2</v>
      </c>
      <c r="M17" s="11">
        <f t="shared" si="2"/>
        <v>1</v>
      </c>
    </row>
    <row r="18" spans="1:13" x14ac:dyDescent="0.2">
      <c r="A18" s="3">
        <v>2009</v>
      </c>
      <c r="B18" s="7">
        <f t="shared" si="1"/>
        <v>0.35869565217391303</v>
      </c>
      <c r="C18" s="7">
        <f t="shared" si="1"/>
        <v>0.18478260869565216</v>
      </c>
      <c r="D18" s="7">
        <f t="shared" si="1"/>
        <v>0.41847826086956524</v>
      </c>
      <c r="E18" s="7">
        <f t="shared" si="1"/>
        <v>0</v>
      </c>
      <c r="F18" s="7">
        <f t="shared" si="1"/>
        <v>3.8043478260869568E-2</v>
      </c>
      <c r="G18" s="7"/>
      <c r="H18" s="7"/>
      <c r="I18" s="11">
        <f t="shared" si="2"/>
        <v>0.27743387732132807</v>
      </c>
      <c r="J18" s="11">
        <f t="shared" si="2"/>
        <v>0.19245920090039392</v>
      </c>
      <c r="K18" s="11">
        <f t="shared" si="2"/>
        <v>0.50534608891389987</v>
      </c>
      <c r="L18" s="11">
        <f t="shared" si="2"/>
        <v>2.4760832864378166E-2</v>
      </c>
      <c r="M18" s="11">
        <f t="shared" si="2"/>
        <v>1</v>
      </c>
    </row>
    <row r="19" spans="1:13" x14ac:dyDescent="0.2">
      <c r="A19" s="3">
        <v>2010</v>
      </c>
      <c r="B19" s="7">
        <f t="shared" si="1"/>
        <v>0.37190082644628097</v>
      </c>
      <c r="C19" s="7">
        <f t="shared" si="1"/>
        <v>0.20867768595041322</v>
      </c>
      <c r="D19" s="7">
        <f t="shared" si="1"/>
        <v>0.3987603305785124</v>
      </c>
      <c r="E19" s="7">
        <f t="shared" si="1"/>
        <v>0</v>
      </c>
      <c r="F19" s="7">
        <f t="shared" si="1"/>
        <v>2.0661157024793389E-2</v>
      </c>
      <c r="G19" s="7"/>
      <c r="H19" s="7"/>
      <c r="I19" s="11">
        <f t="shared" si="2"/>
        <v>0.23570190641247835</v>
      </c>
      <c r="J19" s="11">
        <f t="shared" si="2"/>
        <v>0.1998844598497978</v>
      </c>
      <c r="K19" s="11">
        <f t="shared" si="2"/>
        <v>0.54246100519930673</v>
      </c>
      <c r="L19" s="11">
        <f t="shared" si="2"/>
        <v>2.1952628538417101E-2</v>
      </c>
      <c r="M19" s="11">
        <f t="shared" si="2"/>
        <v>1</v>
      </c>
    </row>
    <row r="20" spans="1:13" x14ac:dyDescent="0.2">
      <c r="A20" s="3">
        <v>2011</v>
      </c>
      <c r="B20" s="7">
        <f t="shared" si="1"/>
        <v>0.38277511961722488</v>
      </c>
      <c r="C20" s="7">
        <f t="shared" si="1"/>
        <v>0.17703349282296652</v>
      </c>
      <c r="D20" s="7">
        <f t="shared" si="1"/>
        <v>0.41148325358851673</v>
      </c>
      <c r="E20" s="7">
        <f t="shared" si="1"/>
        <v>0</v>
      </c>
      <c r="F20" s="7">
        <f t="shared" si="1"/>
        <v>2.8708133971291867E-2</v>
      </c>
      <c r="G20" s="7"/>
      <c r="H20" s="7"/>
      <c r="I20" s="11">
        <f t="shared" si="2"/>
        <v>0.25825946817082995</v>
      </c>
      <c r="J20" s="11">
        <f t="shared" si="2"/>
        <v>0.19500402900886382</v>
      </c>
      <c r="K20" s="11">
        <f t="shared" si="2"/>
        <v>0.52054794520547942</v>
      </c>
      <c r="L20" s="11">
        <f t="shared" si="2"/>
        <v>2.6188557614826753E-2</v>
      </c>
      <c r="M20" s="11">
        <f t="shared" si="2"/>
        <v>1</v>
      </c>
    </row>
    <row r="21" spans="1:13" x14ac:dyDescent="0.2">
      <c r="A21" s="3">
        <v>2012</v>
      </c>
      <c r="B21" s="7">
        <f t="shared" si="1"/>
        <v>0.23802163833075735</v>
      </c>
      <c r="C21" s="7">
        <f t="shared" si="1"/>
        <v>0.20092735703245751</v>
      </c>
      <c r="D21" s="7">
        <f t="shared" si="1"/>
        <v>0.49768160741885625</v>
      </c>
      <c r="E21" s="7">
        <f t="shared" si="1"/>
        <v>1.5455950540958269E-3</v>
      </c>
      <c r="F21" s="7">
        <f t="shared" si="1"/>
        <v>6.1823802163833076E-2</v>
      </c>
      <c r="G21" s="7"/>
      <c r="H21" s="7"/>
      <c r="I21" s="11">
        <f t="shared" si="2"/>
        <v>0.19553072625698323</v>
      </c>
      <c r="J21" s="11">
        <f t="shared" si="2"/>
        <v>0.19093000328623069</v>
      </c>
      <c r="K21" s="11">
        <f t="shared" si="2"/>
        <v>0.56687479461058166</v>
      </c>
      <c r="L21" s="11">
        <f t="shared" si="2"/>
        <v>4.6664475846204402E-2</v>
      </c>
      <c r="M21" s="11">
        <f t="shared" si="2"/>
        <v>1</v>
      </c>
    </row>
    <row r="22" spans="1:13" x14ac:dyDescent="0.2">
      <c r="A22" s="3">
        <v>2013</v>
      </c>
      <c r="B22" s="7">
        <f t="shared" si="1"/>
        <v>0.23161189358372458</v>
      </c>
      <c r="C22" s="7">
        <f t="shared" si="1"/>
        <v>0.20344287949921752</v>
      </c>
      <c r="D22" s="7">
        <f t="shared" si="1"/>
        <v>0.50234741784037562</v>
      </c>
      <c r="E22" s="7">
        <f t="shared" si="1"/>
        <v>0</v>
      </c>
      <c r="F22" s="7">
        <f t="shared" si="1"/>
        <v>6.2597809076682318E-2</v>
      </c>
      <c r="G22" s="7"/>
      <c r="H22" s="7"/>
      <c r="I22" s="11">
        <f t="shared" si="2"/>
        <v>0.18948562783661119</v>
      </c>
      <c r="J22" s="11">
        <f t="shared" si="2"/>
        <v>0.19099848714069592</v>
      </c>
      <c r="K22" s="11">
        <f t="shared" si="2"/>
        <v>0.56732223903177004</v>
      </c>
      <c r="L22" s="11">
        <f t="shared" si="2"/>
        <v>5.2193645990922848E-2</v>
      </c>
      <c r="M22" s="11">
        <f t="shared" si="2"/>
        <v>1</v>
      </c>
    </row>
    <row r="23" spans="1:13" x14ac:dyDescent="0.2">
      <c r="A23" s="3">
        <v>2014</v>
      </c>
      <c r="B23" s="7">
        <f t="shared" si="1"/>
        <v>0.20285261489698891</v>
      </c>
      <c r="C23" s="7">
        <f t="shared" si="1"/>
        <v>0.19968304278922344</v>
      </c>
      <c r="D23" s="7">
        <f t="shared" si="1"/>
        <v>0.54358161648177494</v>
      </c>
      <c r="E23" s="7">
        <f t="shared" si="1"/>
        <v>0</v>
      </c>
      <c r="F23" s="7">
        <f t="shared" si="1"/>
        <v>5.388272583201268E-2</v>
      </c>
      <c r="I23" s="11">
        <f t="shared" si="2"/>
        <v>0.16318961520630507</v>
      </c>
      <c r="J23" s="11">
        <f t="shared" si="2"/>
        <v>0.1979601298099212</v>
      </c>
      <c r="K23" s="11">
        <f t="shared" si="2"/>
        <v>0.59388038942976351</v>
      </c>
      <c r="L23" s="11">
        <f t="shared" si="2"/>
        <v>4.4969865554010197E-2</v>
      </c>
      <c r="M23" s="11">
        <f t="shared" si="2"/>
        <v>1</v>
      </c>
    </row>
    <row r="24" spans="1:13" x14ac:dyDescent="0.2">
      <c r="A24" s="3">
        <v>2015</v>
      </c>
      <c r="B24" s="7">
        <f t="shared" si="1"/>
        <v>0.28552097428958051</v>
      </c>
      <c r="C24" s="7">
        <f t="shared" si="1"/>
        <v>0.16644113667117727</v>
      </c>
      <c r="D24" s="7">
        <f t="shared" si="1"/>
        <v>0.48985115020297698</v>
      </c>
      <c r="E24" s="7">
        <f t="shared" si="1"/>
        <v>0</v>
      </c>
      <c r="F24" s="7">
        <f t="shared" si="1"/>
        <v>5.8186738836265225E-2</v>
      </c>
      <c r="I24" s="11">
        <f t="shared" si="2"/>
        <v>0.19599198396793588</v>
      </c>
      <c r="J24" s="11">
        <f t="shared" si="2"/>
        <v>0.17875751503006013</v>
      </c>
      <c r="K24" s="11">
        <f t="shared" si="2"/>
        <v>0.57755511022044093</v>
      </c>
      <c r="L24" s="11">
        <f t="shared" si="2"/>
        <v>4.7695390781563124E-2</v>
      </c>
      <c r="M24" s="11">
        <f t="shared" si="2"/>
        <v>1</v>
      </c>
    </row>
    <row r="25" spans="1:13" x14ac:dyDescent="0.2">
      <c r="A25" s="3">
        <v>2016</v>
      </c>
      <c r="B25" s="7">
        <f>B12/$G12</f>
        <v>0.22192866578599735</v>
      </c>
      <c r="C25" s="7">
        <f>C12/$G12</f>
        <v>0.20079260237780713</v>
      </c>
      <c r="D25" s="7">
        <f>D12/$G12</f>
        <v>0.51915455746367234</v>
      </c>
      <c r="E25" s="7"/>
      <c r="F25" s="7">
        <f>F12/$G12</f>
        <v>5.8124174372523117E-2</v>
      </c>
      <c r="I25" s="11">
        <f t="shared" si="2"/>
        <v>0.18147268408551068</v>
      </c>
      <c r="J25" s="11">
        <f t="shared" si="2"/>
        <v>0.15961995249406175</v>
      </c>
      <c r="K25" s="11">
        <f t="shared" si="2"/>
        <v>0.60570071258907365</v>
      </c>
      <c r="L25" s="11">
        <f t="shared" si="2"/>
        <v>5.3206650831353917E-2</v>
      </c>
      <c r="M25" s="11">
        <f t="shared" si="2"/>
        <v>1</v>
      </c>
    </row>
    <row r="27" spans="1:13" x14ac:dyDescent="0.2">
      <c r="A27" s="3" t="s">
        <v>31</v>
      </c>
    </row>
    <row r="28" spans="1:13" x14ac:dyDescent="0.2">
      <c r="B28" s="3" t="s">
        <v>15</v>
      </c>
      <c r="C28" s="3" t="s">
        <v>16</v>
      </c>
      <c r="D28" s="3" t="s">
        <v>12</v>
      </c>
      <c r="E28" s="3" t="s">
        <v>13</v>
      </c>
      <c r="F28" s="3" t="s">
        <v>14</v>
      </c>
    </row>
    <row r="29" spans="1:13" x14ac:dyDescent="0.2">
      <c r="A29" s="3">
        <v>2008</v>
      </c>
      <c r="B29" s="8">
        <f t="shared" ref="B29:B37" si="3">B17/I17</f>
        <v>1.4561918422140665</v>
      </c>
      <c r="C29" s="8">
        <f t="shared" ref="C29:C37" si="4">C17/J17</f>
        <v>0.84061691128494509</v>
      </c>
      <c r="D29" s="8">
        <f t="shared" ref="D29:D37" si="5">D17/K17</f>
        <v>0.85121610772543155</v>
      </c>
      <c r="E29" s="8" t="e">
        <f>E17/#REF!</f>
        <v>#REF!</v>
      </c>
      <c r="F29" s="8">
        <f t="shared" ref="F29:F37" si="6">F17/L17</f>
        <v>0.84762205221231957</v>
      </c>
    </row>
    <row r="30" spans="1:13" x14ac:dyDescent="0.2">
      <c r="A30" s="3">
        <v>2009</v>
      </c>
      <c r="B30" s="8">
        <f t="shared" si="3"/>
        <v>1.2929050180791957</v>
      </c>
      <c r="C30" s="8">
        <f t="shared" si="4"/>
        <v>0.96011314518179502</v>
      </c>
      <c r="D30" s="8">
        <f t="shared" si="5"/>
        <v>0.82810230463832668</v>
      </c>
      <c r="E30" s="8" t="e">
        <f>E18/#REF!</f>
        <v>#REF!</v>
      </c>
      <c r="F30" s="8">
        <f t="shared" si="6"/>
        <v>1.5364377470355732</v>
      </c>
    </row>
    <row r="31" spans="1:13" x14ac:dyDescent="0.2">
      <c r="A31" s="3">
        <v>2010</v>
      </c>
      <c r="B31" s="8">
        <f t="shared" si="3"/>
        <v>1.5778439474963537</v>
      </c>
      <c r="C31" s="8">
        <f t="shared" si="4"/>
        <v>1.0439915444513448</v>
      </c>
      <c r="D31" s="8">
        <f t="shared" si="5"/>
        <v>0.73509492250415864</v>
      </c>
      <c r="E31" s="8" t="e">
        <f>E19/#REF!</f>
        <v>#REF!</v>
      </c>
      <c r="F31" s="8">
        <f t="shared" si="6"/>
        <v>0.94117007394519359</v>
      </c>
    </row>
    <row r="32" spans="1:13" x14ac:dyDescent="0.2">
      <c r="A32" s="3">
        <v>2011</v>
      </c>
      <c r="B32" s="8">
        <f t="shared" si="3"/>
        <v>1.4821339265053857</v>
      </c>
      <c r="C32" s="8">
        <f t="shared" si="4"/>
        <v>0.90784530823678278</v>
      </c>
      <c r="D32" s="8">
        <f t="shared" si="5"/>
        <v>0.79048098715688742</v>
      </c>
      <c r="E32" s="8" t="e">
        <f>E20/#REF!</f>
        <v>#REF!</v>
      </c>
      <c r="F32" s="8">
        <f t="shared" si="6"/>
        <v>1.096209054103791</v>
      </c>
    </row>
    <row r="33" spans="1:6" x14ac:dyDescent="0.2">
      <c r="A33" s="3">
        <v>2012</v>
      </c>
      <c r="B33" s="8">
        <f t="shared" si="3"/>
        <v>1.2173106646058733</v>
      </c>
      <c r="C33" s="8">
        <f t="shared" si="4"/>
        <v>1.0523613553352293</v>
      </c>
      <c r="D33" s="8">
        <f t="shared" si="5"/>
        <v>0.87793920659453895</v>
      </c>
      <c r="E33" s="8" t="e">
        <f>E21/#REF!</f>
        <v>#REF!</v>
      </c>
      <c r="F33" s="8">
        <f t="shared" si="6"/>
        <v>1.3248579576376343</v>
      </c>
    </row>
    <row r="34" spans="1:6" x14ac:dyDescent="0.2">
      <c r="A34" s="3">
        <v>2013</v>
      </c>
      <c r="B34" s="8">
        <f t="shared" si="3"/>
        <v>1.2223190551604148</v>
      </c>
      <c r="C34" s="8">
        <f t="shared" si="4"/>
        <v>1.0651544027642199</v>
      </c>
      <c r="D34" s="8">
        <f t="shared" si="5"/>
        <v>0.88547104851330216</v>
      </c>
      <c r="E34" s="8" t="e">
        <f>E22/#REF!</f>
        <v>#REF!</v>
      </c>
      <c r="F34" s="8">
        <f t="shared" si="6"/>
        <v>1.1993377333242612</v>
      </c>
    </row>
    <row r="35" spans="1:6" x14ac:dyDescent="0.2">
      <c r="A35" s="3">
        <v>2014</v>
      </c>
      <c r="B35" s="8">
        <f t="shared" si="3"/>
        <v>1.2430485520818326</v>
      </c>
      <c r="C35" s="8">
        <f t="shared" si="4"/>
        <v>1.0087033332467328</v>
      </c>
      <c r="D35" s="8">
        <f t="shared" si="5"/>
        <v>0.9153048764646281</v>
      </c>
      <c r="E35" s="8" t="e">
        <f>E23/#REF!</f>
        <v>#REF!</v>
      </c>
      <c r="F35" s="8">
        <f t="shared" si="6"/>
        <v>1.1981962847386738</v>
      </c>
    </row>
    <row r="36" spans="1:6" x14ac:dyDescent="0.2">
      <c r="A36" s="3">
        <v>2015</v>
      </c>
      <c r="B36" s="8">
        <f t="shared" si="3"/>
        <v>1.4567992450971439</v>
      </c>
      <c r="C36" s="8">
        <f t="shared" si="4"/>
        <v>0.93110008070535266</v>
      </c>
      <c r="D36" s="8">
        <f t="shared" si="5"/>
        <v>0.84814616221820094</v>
      </c>
      <c r="E36" s="8" t="e">
        <f>E24/#REF!</f>
        <v>#REF!</v>
      </c>
      <c r="F36" s="8">
        <f t="shared" si="6"/>
        <v>1.2199656587939642</v>
      </c>
    </row>
    <row r="37" spans="1:6" x14ac:dyDescent="0.2">
      <c r="A37" s="3">
        <v>2016</v>
      </c>
      <c r="B37" s="8">
        <f t="shared" si="3"/>
        <v>1.222931522197708</v>
      </c>
      <c r="C37" s="8">
        <f t="shared" si="4"/>
        <v>1.2579417500157264</v>
      </c>
      <c r="D37" s="8">
        <f t="shared" si="5"/>
        <v>0.85711399487139628</v>
      </c>
      <c r="E37" s="8" t="e">
        <f>E25/#REF!</f>
        <v>#REF!</v>
      </c>
      <c r="F37" s="8">
        <f t="shared" si="6"/>
        <v>1.0924230986978676</v>
      </c>
    </row>
    <row r="39" spans="1:6" x14ac:dyDescent="0.2">
      <c r="A39" s="3" t="s">
        <v>22</v>
      </c>
    </row>
    <row r="40" spans="1:6" ht="22.5" x14ac:dyDescent="0.2">
      <c r="A40" s="9"/>
      <c r="B40" s="9" t="s">
        <v>23</v>
      </c>
    </row>
    <row r="41" spans="1:6" x14ac:dyDescent="0.2">
      <c r="A41" s="3">
        <v>2008</v>
      </c>
      <c r="B41" s="10">
        <f>B29/C29</f>
        <v>1.7322894919972163</v>
      </c>
    </row>
    <row r="42" spans="1:6" x14ac:dyDescent="0.2">
      <c r="A42" s="3">
        <v>2009</v>
      </c>
      <c r="B42" s="10">
        <f t="shared" ref="B42:B49" si="7">B30/C30</f>
        <v>1.3466173487650639</v>
      </c>
    </row>
    <row r="43" spans="1:6" x14ac:dyDescent="0.2">
      <c r="A43" s="3">
        <v>2010</v>
      </c>
      <c r="B43" s="10">
        <f t="shared" si="7"/>
        <v>1.5113570180547464</v>
      </c>
    </row>
    <row r="44" spans="1:6" x14ac:dyDescent="0.2">
      <c r="A44" s="3">
        <v>2011</v>
      </c>
      <c r="B44" s="10">
        <f t="shared" si="7"/>
        <v>1.6325842222878106</v>
      </c>
    </row>
    <row r="45" spans="1:6" x14ac:dyDescent="0.2">
      <c r="A45" s="3">
        <v>2012</v>
      </c>
      <c r="B45" s="10">
        <f t="shared" si="7"/>
        <v>1.1567420814479636</v>
      </c>
    </row>
    <row r="46" spans="1:6" x14ac:dyDescent="0.2">
      <c r="A46" s="3">
        <v>2013</v>
      </c>
      <c r="B46" s="10">
        <f t="shared" si="7"/>
        <v>1.1475510517426688</v>
      </c>
    </row>
    <row r="47" spans="1:6" x14ac:dyDescent="0.2">
      <c r="A47" s="3">
        <v>2014</v>
      </c>
      <c r="B47" s="10">
        <f t="shared" si="7"/>
        <v>1.2323232323232327</v>
      </c>
    </row>
    <row r="48" spans="1:6" x14ac:dyDescent="0.2">
      <c r="A48" s="3">
        <v>2015</v>
      </c>
      <c r="B48" s="10">
        <f t="shared" si="7"/>
        <v>1.5646000631785457</v>
      </c>
    </row>
    <row r="49" spans="1:2" x14ac:dyDescent="0.2">
      <c r="A49" s="3">
        <v>2016</v>
      </c>
      <c r="B49" s="10">
        <f t="shared" si="7"/>
        <v>0.97216864149903548</v>
      </c>
    </row>
    <row r="51" spans="1:2" x14ac:dyDescent="0.2">
      <c r="A51" s="3" t="s">
        <v>43</v>
      </c>
    </row>
    <row r="52" spans="1:2" x14ac:dyDescent="0.2">
      <c r="A52" s="3" t="s">
        <v>28</v>
      </c>
    </row>
    <row r="53" spans="1:2" x14ac:dyDescent="0.2">
      <c r="A53" s="3" t="s">
        <v>26</v>
      </c>
    </row>
    <row r="54" spans="1:2" x14ac:dyDescent="0.2">
      <c r="A54" s="3" t="s">
        <v>25</v>
      </c>
    </row>
  </sheetData>
  <pageMargins left="0.75" right="0.75" top="1" bottom="1" header="0.5" footer="0.5"/>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Victims as % Total Pop</vt:lpstr>
      <vt:lpstr>Removals as % Total Pop</vt:lpstr>
      <vt:lpstr>Removals as % Confirmed Victims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Abernathy</dc:creator>
  <cp:lastModifiedBy>Carlos Soto</cp:lastModifiedBy>
  <dcterms:created xsi:type="dcterms:W3CDTF">2014-01-30T17:24:07Z</dcterms:created>
  <dcterms:modified xsi:type="dcterms:W3CDTF">2025-08-22T15:24:06Z</dcterms:modified>
</cp:coreProperties>
</file>