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Crime\For Web\"/>
    </mc:Choice>
  </mc:AlternateContent>
  <xr:revisionPtr revIDLastSave="0" documentId="13_ncr:1_{8A7AA5A8-6B07-4E52-9C28-5E2362EC42AE}" xr6:coauthVersionLast="47" xr6:coauthVersionMax="47" xr10:uidLastSave="{00000000-0000-0000-0000-000000000000}"/>
  <bookViews>
    <workbookView xWindow="26805" yWindow="3120" windowWidth="20925" windowHeight="931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1" i="1" l="1"/>
  <c r="V11" i="1"/>
  <c r="W9" i="1"/>
  <c r="V9" i="1"/>
  <c r="W7" i="1"/>
  <c r="X11" i="1"/>
  <c r="X9" i="1"/>
  <c r="P11" i="1" l="1"/>
  <c r="P9" i="1"/>
  <c r="N62" i="1"/>
  <c r="O62" i="1"/>
  <c r="P62" i="1"/>
  <c r="N60" i="1"/>
  <c r="O60" i="1"/>
  <c r="P60" i="1"/>
  <c r="P58" i="1"/>
  <c r="N52" i="1"/>
  <c r="O52" i="1"/>
  <c r="P52" i="1"/>
  <c r="N50" i="1"/>
  <c r="O50" i="1"/>
  <c r="P50" i="1"/>
  <c r="P48" i="1"/>
  <c r="N42" i="1"/>
  <c r="O42" i="1"/>
  <c r="P42" i="1"/>
  <c r="N40" i="1"/>
  <c r="O40" i="1"/>
  <c r="P40" i="1"/>
  <c r="P38" i="1"/>
  <c r="N32" i="1"/>
  <c r="O32" i="1"/>
  <c r="P32" i="1"/>
  <c r="N30" i="1"/>
  <c r="O30" i="1"/>
  <c r="P30" i="1"/>
  <c r="M28" i="1"/>
  <c r="P28" i="1"/>
  <c r="P22" i="1"/>
  <c r="N20" i="1"/>
  <c r="O20" i="1"/>
  <c r="P20" i="1"/>
  <c r="P18" i="1"/>
  <c r="N11" i="1"/>
  <c r="O11" i="1"/>
  <c r="N9" i="1"/>
  <c r="O9" i="1"/>
  <c r="P7" i="1"/>
  <c r="V7" i="1" s="1"/>
  <c r="O58" i="1" l="1"/>
  <c r="N58" i="1"/>
  <c r="O48" i="1"/>
  <c r="N48" i="1"/>
  <c r="O38" i="1"/>
  <c r="N38" i="1"/>
  <c r="O28" i="1"/>
  <c r="N28" i="1"/>
  <c r="O18" i="1"/>
  <c r="N18" i="1"/>
  <c r="O7" i="1"/>
  <c r="N7" i="1"/>
  <c r="M62" i="1" l="1"/>
  <c r="M60" i="1"/>
  <c r="M52" i="1"/>
  <c r="M50" i="1"/>
  <c r="M42" i="1"/>
  <c r="M40" i="1"/>
  <c r="M32" i="1"/>
  <c r="M30" i="1"/>
  <c r="M22" i="1"/>
  <c r="M20" i="1"/>
  <c r="M11" i="1"/>
  <c r="M9" i="1"/>
  <c r="L10" i="1" l="1"/>
  <c r="L11" i="1" s="1"/>
  <c r="L8" i="1"/>
  <c r="L9" i="1" s="1"/>
  <c r="L61" i="1"/>
  <c r="L62" i="1" s="1"/>
  <c r="L59" i="1"/>
  <c r="L60" i="1" s="1"/>
  <c r="L51" i="1"/>
  <c r="L52" i="1" s="1"/>
  <c r="L49" i="1"/>
  <c r="L50" i="1" s="1"/>
  <c r="L41" i="1"/>
  <c r="L42" i="1" s="1"/>
  <c r="L39" i="1"/>
  <c r="L40" i="1" s="1"/>
  <c r="L31" i="1"/>
  <c r="L32" i="1" s="1"/>
  <c r="L29" i="1"/>
  <c r="L30" i="1" s="1"/>
  <c r="L22" i="1"/>
  <c r="L20" i="1"/>
  <c r="K61" i="1" l="1"/>
  <c r="K62" i="1" s="1"/>
  <c r="K59" i="1"/>
  <c r="K60" i="1" s="1"/>
  <c r="K51" i="1"/>
  <c r="K52" i="1" s="1"/>
  <c r="K49" i="1"/>
  <c r="K50" i="1" s="1"/>
  <c r="K41" i="1"/>
  <c r="K42" i="1" s="1"/>
  <c r="K39" i="1"/>
  <c r="K40" i="1" s="1"/>
  <c r="K31" i="1"/>
  <c r="K32" i="1" s="1"/>
  <c r="K29" i="1"/>
  <c r="K30" i="1" s="1"/>
  <c r="K21" i="1"/>
  <c r="K22" i="1" s="1"/>
  <c r="K19" i="1"/>
  <c r="K20" i="1" s="1"/>
  <c r="K10" i="1"/>
  <c r="K11" i="1" s="1"/>
  <c r="K8" i="1"/>
  <c r="K9" i="1" s="1"/>
  <c r="J6" i="1" l="1"/>
  <c r="J3" i="1" l="1"/>
  <c r="I61" i="1"/>
  <c r="I62" i="1" s="1"/>
  <c r="I59" i="1"/>
  <c r="I60" i="1" s="1"/>
  <c r="I51" i="1"/>
  <c r="I52" i="1" s="1"/>
  <c r="I49" i="1"/>
  <c r="I50" i="1" s="1"/>
  <c r="I41" i="1"/>
  <c r="I42" i="1" s="1"/>
  <c r="I39" i="1"/>
  <c r="I40" i="1" s="1"/>
  <c r="I31" i="1"/>
  <c r="I32" i="1" s="1"/>
  <c r="I29" i="1"/>
  <c r="I30" i="1" s="1"/>
  <c r="I21" i="1"/>
  <c r="I22" i="1" s="1"/>
  <c r="I19" i="1"/>
  <c r="I20" i="1" s="1"/>
  <c r="I10" i="1"/>
  <c r="I11" i="1" s="1"/>
  <c r="I8" i="1"/>
  <c r="I9" i="1" s="1"/>
  <c r="H61" i="1" l="1"/>
  <c r="H62" i="1" s="1"/>
  <c r="H59" i="1"/>
  <c r="H60" i="1" s="1"/>
  <c r="G57" i="1"/>
  <c r="F57" i="1"/>
  <c r="E57" i="1"/>
  <c r="D57" i="1"/>
  <c r="C57" i="1"/>
  <c r="G56" i="1"/>
  <c r="F56" i="1"/>
  <c r="E56" i="1"/>
  <c r="D56" i="1"/>
  <c r="C56" i="1"/>
  <c r="H51" i="1"/>
  <c r="H52" i="1" s="1"/>
  <c r="H49" i="1"/>
  <c r="H50" i="1" s="1"/>
  <c r="G47" i="1"/>
  <c r="F47" i="1"/>
  <c r="E47" i="1"/>
  <c r="D47" i="1"/>
  <c r="C47" i="1"/>
  <c r="G46" i="1"/>
  <c r="F46" i="1"/>
  <c r="E46" i="1"/>
  <c r="D46" i="1"/>
  <c r="C46" i="1"/>
  <c r="H41" i="1"/>
  <c r="H42" i="1" s="1"/>
  <c r="H39" i="1"/>
  <c r="H40" i="1" s="1"/>
  <c r="G37" i="1"/>
  <c r="F37" i="1"/>
  <c r="E37" i="1"/>
  <c r="D37" i="1"/>
  <c r="C37" i="1"/>
  <c r="G36" i="1"/>
  <c r="F36" i="1"/>
  <c r="E36" i="1"/>
  <c r="D36" i="1"/>
  <c r="C36" i="1"/>
  <c r="H31" i="1"/>
  <c r="H32" i="1" s="1"/>
  <c r="H29" i="1"/>
  <c r="H30" i="1" s="1"/>
  <c r="G27" i="1"/>
  <c r="F27" i="1"/>
  <c r="E27" i="1"/>
  <c r="D27" i="1"/>
  <c r="C27" i="1"/>
  <c r="G26" i="1"/>
  <c r="F26" i="1"/>
  <c r="E26" i="1"/>
  <c r="D26" i="1"/>
  <c r="C26" i="1"/>
  <c r="H21" i="1"/>
  <c r="H22" i="1" s="1"/>
  <c r="H19" i="1"/>
  <c r="H20" i="1" s="1"/>
  <c r="G17" i="1"/>
  <c r="F17" i="1"/>
  <c r="E17" i="1"/>
  <c r="D17" i="1"/>
  <c r="C17" i="1"/>
  <c r="G16" i="1"/>
  <c r="F16" i="1"/>
  <c r="E16" i="1"/>
  <c r="D16" i="1"/>
  <c r="C16" i="1"/>
  <c r="H10" i="1"/>
  <c r="H11" i="1" s="1"/>
  <c r="H8" i="1"/>
  <c r="H9" i="1" s="1"/>
  <c r="F38" i="1" l="1"/>
  <c r="C28" i="1"/>
  <c r="C48" i="1"/>
  <c r="G48" i="1"/>
  <c r="C58" i="1"/>
  <c r="G58" i="1"/>
  <c r="E18" i="1"/>
  <c r="F18" i="1"/>
  <c r="F28" i="1"/>
  <c r="D58" i="1"/>
  <c r="G28" i="1"/>
  <c r="D28" i="1"/>
  <c r="C38" i="1"/>
  <c r="G38" i="1"/>
  <c r="F48" i="1"/>
  <c r="H27" i="1"/>
  <c r="H28" i="1" s="1"/>
  <c r="E28" i="1"/>
  <c r="C18" i="1"/>
  <c r="G18" i="1"/>
  <c r="E38" i="1"/>
  <c r="D48" i="1"/>
  <c r="E58" i="1"/>
  <c r="D38" i="1"/>
  <c r="D18" i="1"/>
  <c r="E48" i="1"/>
  <c r="F58" i="1"/>
</calcChain>
</file>

<file path=xl/sharedStrings.xml><?xml version="1.0" encoding="utf-8"?>
<sst xmlns="http://schemas.openxmlformats.org/spreadsheetml/2006/main" count="65" uniqueCount="30">
  <si>
    <t>Data Source</t>
  </si>
  <si>
    <t>Travis County</t>
  </si>
  <si>
    <t>Population</t>
  </si>
  <si>
    <t>Total # of Offenses</t>
  </si>
  <si>
    <t>Overall Crime Rate</t>
  </si>
  <si>
    <t>Total # of Violent Offenses</t>
  </si>
  <si>
    <t>Violent Crime Rate</t>
  </si>
  <si>
    <t>Total # of Property Offenses</t>
  </si>
  <si>
    <t>Property Crime Rate</t>
  </si>
  <si>
    <t>Crime Rates per 100,000 for Counties in the Austin-Round Rock-San Marcos MSA</t>
  </si>
  <si>
    <t xml:space="preserve">The crime count of incidents (including murder, rape, robbery, aggravated assault, burglary, theft, and auto theft) divided by population to produce a rate per 100,000 persons in the population. </t>
  </si>
  <si>
    <t>El Paso County</t>
  </si>
  <si>
    <t>Tarrant County</t>
  </si>
  <si>
    <t>Bexar County</t>
  </si>
  <si>
    <t>Harris County</t>
  </si>
  <si>
    <t>Dallas County</t>
  </si>
  <si>
    <t xml:space="preserve">2014 Data Reporting Omissions </t>
  </si>
  <si>
    <t>Bexar County: None</t>
  </si>
  <si>
    <t xml:space="preserve">Harris County: Shoreacres PD - Reported 0 Months (Population 1592); Houston Baptist Univ PD - Reported 0 Months (Population 0); </t>
  </si>
  <si>
    <t>Dallas County: None</t>
  </si>
  <si>
    <t>El Paso County: None</t>
  </si>
  <si>
    <t>Tarrant County: None</t>
  </si>
  <si>
    <t xml:space="preserve">Travis County: West Lake Hills PD - Reported 0 Months (Population3305); </t>
  </si>
  <si>
    <t xml:space="preserve"> </t>
  </si>
  <si>
    <t>1% decline target:</t>
  </si>
  <si>
    <t xml:space="preserve">Property Crime Rate           </t>
  </si>
  <si>
    <t>Texas Department of Public Safety Crime Reports, Crime by Jurisdiction: https://www.dps.texas.gov/section/crime-records/crime-texas</t>
  </si>
  <si>
    <t>United States Crime Data: https://www.fbi.gov/how-we-can-help-you/need-an-fbi-service-or-more-information/ucr/publications</t>
  </si>
  <si>
    <t>5-Yr Change</t>
  </si>
  <si>
    <t>1-Yr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</si>
</sst>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orbel"/>
      <family val="2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sz val="10"/>
      <color rgb="FF000000"/>
      <name val="Corbel"/>
      <family val="2"/>
    </font>
    <font>
      <sz val="9"/>
      <color rgb="FF4A4949"/>
      <name val="Arial"/>
      <family val="2"/>
    </font>
    <font>
      <b/>
      <u/>
      <sz val="10"/>
      <color theme="1"/>
      <name val="Corbel"/>
      <family val="2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1" fontId="3" fillId="0" borderId="0" xfId="0" applyNumberFormat="1" applyFont="1"/>
    <xf numFmtId="0" fontId="1" fillId="0" borderId="0" xfId="0" applyFont="1"/>
    <xf numFmtId="1" fontId="0" fillId="0" borderId="0" xfId="0" applyNumberFormat="1"/>
    <xf numFmtId="3" fontId="6" fillId="0" borderId="0" xfId="0" applyNumberFormat="1" applyFont="1"/>
    <xf numFmtId="0" fontId="7" fillId="0" borderId="0" xfId="0" applyFont="1"/>
    <xf numFmtId="164" fontId="3" fillId="0" borderId="0" xfId="1" applyNumberFormat="1" applyFont="1"/>
    <xf numFmtId="1" fontId="4" fillId="0" borderId="0" xfId="0" applyNumberFormat="1" applyFont="1"/>
    <xf numFmtId="1" fontId="3" fillId="0" borderId="0" xfId="1" applyNumberFormat="1" applyFont="1"/>
    <xf numFmtId="0" fontId="9" fillId="0" borderId="0" xfId="0" applyFont="1"/>
    <xf numFmtId="1" fontId="9" fillId="0" borderId="0" xfId="0" applyNumberFormat="1" applyFont="1"/>
    <xf numFmtId="1" fontId="3" fillId="0" borderId="0" xfId="1" applyNumberFormat="1" applyFont="1" applyFill="1"/>
    <xf numFmtId="164" fontId="3" fillId="0" borderId="0" xfId="1" applyNumberFormat="1" applyFont="1" applyFill="1"/>
    <xf numFmtId="9" fontId="3" fillId="0" borderId="0" xfId="2" applyFont="1" applyAlignment="1">
      <alignment horizontal="center"/>
    </xf>
    <xf numFmtId="1" fontId="3" fillId="0" borderId="0" xfId="2" applyNumberFormat="1" applyFont="1"/>
    <xf numFmtId="165" fontId="3" fillId="0" borderId="0" xfId="2" applyNumberFormat="1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right"/>
    </xf>
    <xf numFmtId="9" fontId="3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Violent and Property Crime Rates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>
                <a:solidFill>
                  <a:sysClr val="windowText" lastClr="000000"/>
                </a:solidFill>
              </a:rPr>
              <a:t>Per 100,000 People, Travis County</a:t>
            </a:r>
          </a:p>
        </c:rich>
      </c:tx>
      <c:layout>
        <c:manualLayout>
          <c:xMode val="edge"/>
          <c:yMode val="edge"/>
          <c:x val="0.14355451656979237"/>
          <c:y val="8.28770657930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384821874089854E-2"/>
          <c:y val="0.26063039319212611"/>
          <c:w val="0.86829823161959763"/>
          <c:h val="0.5732637380985825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Sheet1!$B$9</c:f>
              <c:strCache>
                <c:ptCount val="1"/>
                <c:pt idx="0">
                  <c:v>Violent Crime 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84952320247386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4B-4A6F-87E7-5E720C5047FE}"/>
                </c:ext>
              </c:extLst>
            </c:dLbl>
            <c:dLbl>
              <c:idx val="1"/>
              <c:layout>
                <c:manualLayout>
                  <c:x val="-6.4022100020779589E-17"/>
                  <c:y val="-4.92017539777304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4B-4A6F-87E7-5E720C5047FE}"/>
                </c:ext>
              </c:extLst>
            </c:dLbl>
            <c:dLbl>
              <c:idx val="2"/>
              <c:layout>
                <c:manualLayout>
                  <c:x val="-6.4102123613779815E-17"/>
                  <c:y val="-4.63322890023532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4B-4A6F-87E7-5E720C5047FE}"/>
                </c:ext>
              </c:extLst>
            </c:dLbl>
            <c:dLbl>
              <c:idx val="3"/>
              <c:layout>
                <c:manualLayout>
                  <c:x val="0"/>
                  <c:y val="-4.64690001303194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4B-4A6F-87E7-5E720C5047FE}"/>
                </c:ext>
              </c:extLst>
            </c:dLbl>
            <c:dLbl>
              <c:idx val="4"/>
              <c:layout>
                <c:manualLayout>
                  <c:x val="0"/>
                  <c:y val="-4.74444429057044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B-4A6F-87E7-5E720C504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Sheet1!$J$4:$N$4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Sheet1!$J$9:$N$9</c:f>
              <c:numCache>
                <c:formatCode>0</c:formatCode>
                <c:ptCount val="3"/>
                <c:pt idx="0">
                  <c:v>387.42793190526083</c:v>
                </c:pt>
                <c:pt idx="1">
                  <c:v>385.51130379767494</c:v>
                </c:pt>
                <c:pt idx="2">
                  <c:v>371.496037941861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D-4BB2-ABDC-546BBC064AEB}"/>
            </c:ext>
          </c:extLst>
        </c:ser>
        <c:ser>
          <c:idx val="0"/>
          <c:order val="1"/>
          <c:tx>
            <c:strRef>
              <c:f>Sheet1!$B$11</c:f>
              <c:strCache>
                <c:ptCount val="1"/>
                <c:pt idx="0">
                  <c:v>Property Crime Rate    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25646343520463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4B-4A6F-87E7-5E720C5047FE}"/>
                </c:ext>
              </c:extLst>
            </c:dLbl>
            <c:dLbl>
              <c:idx val="1"/>
              <c:layout>
                <c:manualLayout>
                  <c:x val="0"/>
                  <c:y val="-0.234622697928327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4B-4A6F-87E7-5E720C5047FE}"/>
                </c:ext>
              </c:extLst>
            </c:dLbl>
            <c:dLbl>
              <c:idx val="2"/>
              <c:layout>
                <c:manualLayout>
                  <c:x val="-6.4120130011753703E-17"/>
                  <c:y val="-0.215478125527118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4B-4A6F-87E7-5E720C5047FE}"/>
                </c:ext>
              </c:extLst>
            </c:dLbl>
            <c:dLbl>
              <c:idx val="3"/>
              <c:layout>
                <c:manualLayout>
                  <c:x val="-5.5063304905066735E-6"/>
                  <c:y val="-0.19849177442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4B-4A6F-87E7-5E720C5047FE}"/>
                </c:ext>
              </c:extLst>
            </c:dLbl>
            <c:dLbl>
              <c:idx val="4"/>
              <c:layout>
                <c:manualLayout>
                  <c:x val="-1.2824026002350741E-16"/>
                  <c:y val="-0.220732445984696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4B-4A6F-87E7-5E720C504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Sheet1!$J$4:$N$4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Sheet1!$J$11:$N$11</c:f>
              <c:numCache>
                <c:formatCode>_(* #,##0_);_(* \(#,##0\);_(* "-"??_);_(@_)</c:formatCode>
                <c:ptCount val="3"/>
                <c:pt idx="0">
                  <c:v>3138.7369278740448</c:v>
                </c:pt>
                <c:pt idx="1">
                  <c:v>2884.6505099086507</c:v>
                </c:pt>
                <c:pt idx="2">
                  <c:v>3022.9322164514601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D-4BB2-ABDC-546BBC064A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45835760"/>
        <c:axId val="145836152"/>
      </c:barChart>
      <c:catAx>
        <c:axId val="14583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6152"/>
        <c:crosses val="autoZero"/>
        <c:auto val="1"/>
        <c:lblAlgn val="ctr"/>
        <c:lblOffset val="100"/>
        <c:noMultiLvlLbl val="0"/>
      </c:catAx>
      <c:valAx>
        <c:axId val="145836152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576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49190969573307E-2"/>
          <c:y val="0.89845305548190235"/>
          <c:w val="0.87602208989241193"/>
          <c:h val="8.6930903347492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Violent and Property Crime Rates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>
                <a:solidFill>
                  <a:sysClr val="windowText" lastClr="000000"/>
                </a:solidFill>
              </a:rPr>
              <a:t>Per 100,000 People, Travis County</a:t>
            </a:r>
          </a:p>
        </c:rich>
      </c:tx>
      <c:layout>
        <c:manualLayout>
          <c:xMode val="edge"/>
          <c:yMode val="edge"/>
          <c:x val="0.14355446206949229"/>
          <c:y val="7.41541319908515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384821874089854E-2"/>
          <c:y val="0.18451336791582706"/>
          <c:w val="0.83126577238013621"/>
          <c:h val="0.642036528982910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Property Crime Rate    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Sheet1!$J$4:$N$4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Sheet1!$J$11:$N$11</c:f>
              <c:numCache>
                <c:formatCode>_(* #,##0_);_(* \(#,##0\);_(* "-"??_);_(@_)</c:formatCode>
                <c:ptCount val="3"/>
                <c:pt idx="0">
                  <c:v>3138.7369278740448</c:v>
                </c:pt>
                <c:pt idx="1">
                  <c:v>2884.6505099086507</c:v>
                </c:pt>
                <c:pt idx="2">
                  <c:v>3022.9322164514601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3-441B-BB02-15D5DA96E133}"/>
            </c:ext>
          </c:extLst>
        </c:ser>
        <c:ser>
          <c:idx val="1"/>
          <c:order val="1"/>
          <c:tx>
            <c:strRef>
              <c:f>Sheet1!$B$9</c:f>
              <c:strCache>
                <c:ptCount val="1"/>
                <c:pt idx="0">
                  <c:v>Violent Crime 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Sheet1!$J$4:$N$4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Sheet1!$J$9:$N$9</c:f>
              <c:numCache>
                <c:formatCode>0</c:formatCode>
                <c:ptCount val="3"/>
                <c:pt idx="0">
                  <c:v>387.42793190526083</c:v>
                </c:pt>
                <c:pt idx="1">
                  <c:v>385.51130379767494</c:v>
                </c:pt>
                <c:pt idx="2">
                  <c:v>371.496037941861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13-441B-BB02-15D5DA96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836936"/>
        <c:axId val="145837328"/>
      </c:barChart>
      <c:catAx>
        <c:axId val="14583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7328"/>
        <c:crosses val="autoZero"/>
        <c:auto val="1"/>
        <c:lblAlgn val="ctr"/>
        <c:lblOffset val="100"/>
        <c:noMultiLvlLbl val="0"/>
      </c:catAx>
      <c:valAx>
        <c:axId val="145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6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464071925219886"/>
          <c:y val="0.21715573053368326"/>
          <c:w val="0.38220086798360731"/>
          <c:h val="0.15238363954505685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Violent and Property Crime Rates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>
                <a:solidFill>
                  <a:sysClr val="windowText" lastClr="000000"/>
                </a:solidFill>
              </a:rPr>
              <a:t>Per 100,000 People, Travis County</a:t>
            </a:r>
          </a:p>
        </c:rich>
      </c:tx>
      <c:layout>
        <c:manualLayout>
          <c:xMode val="edge"/>
          <c:yMode val="edge"/>
          <c:x val="0.14355446206949229"/>
          <c:y val="7.41541319908515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09893171248331"/>
          <c:y val="0.18451336791582706"/>
          <c:w val="0.75240594925634297"/>
          <c:h val="0.60046498001617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Property Crime Rate    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Sheet1!$J$4:$N$4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Sheet1!$J$11:$N$11</c:f>
              <c:numCache>
                <c:formatCode>_(* #,##0_);_(* \(#,##0\);_(* "-"??_);_(@_)</c:formatCode>
                <c:ptCount val="3"/>
                <c:pt idx="0">
                  <c:v>3138.7369278740448</c:v>
                </c:pt>
                <c:pt idx="1">
                  <c:v>2884.6505099086507</c:v>
                </c:pt>
                <c:pt idx="2">
                  <c:v>3022.9322164514601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1-4E22-B814-09E904923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5836936"/>
        <c:axId val="145837328"/>
      </c:barChart>
      <c:lineChart>
        <c:grouping val="standard"/>
        <c:varyColors val="0"/>
        <c:ser>
          <c:idx val="1"/>
          <c:order val="1"/>
          <c:tx>
            <c:strRef>
              <c:f>Sheet1!$B$9</c:f>
              <c:strCache>
                <c:ptCount val="1"/>
                <c:pt idx="0">
                  <c:v>Violent Crime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Sheet1!$J$4:$N$4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Sheet1!$J$9:$N$9</c:f>
              <c:numCache>
                <c:formatCode>0</c:formatCode>
                <c:ptCount val="3"/>
                <c:pt idx="0">
                  <c:v>387.42793190526083</c:v>
                </c:pt>
                <c:pt idx="1">
                  <c:v>385.51130379767494</c:v>
                </c:pt>
                <c:pt idx="2">
                  <c:v>371.496037941861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1-4E22-B814-09E904923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89232"/>
        <c:axId val="538888912"/>
      </c:lineChart>
      <c:catAx>
        <c:axId val="14583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7328"/>
        <c:crosses val="autoZero"/>
        <c:auto val="1"/>
        <c:lblAlgn val="ctr"/>
        <c:lblOffset val="100"/>
        <c:noMultiLvlLbl val="0"/>
      </c:catAx>
      <c:valAx>
        <c:axId val="145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6936"/>
        <c:crosses val="autoZero"/>
        <c:crossBetween val="between"/>
      </c:valAx>
      <c:valAx>
        <c:axId val="538888912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38889232"/>
        <c:crosses val="max"/>
        <c:crossBetween val="between"/>
      </c:valAx>
      <c:catAx>
        <c:axId val="53888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8888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275429387116104E-3"/>
          <c:y val="0.88161954127209108"/>
          <c:w val="0.99134491412257697"/>
          <c:h val="8.7201756482060383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Violent and Property Crime Rates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>
                <a:solidFill>
                  <a:sysClr val="windowText" lastClr="000000"/>
                </a:solidFill>
              </a:rPr>
              <a:t>Per 100,000 People, Travis County</a:t>
            </a:r>
          </a:p>
        </c:rich>
      </c:tx>
      <c:layout>
        <c:manualLayout>
          <c:xMode val="edge"/>
          <c:yMode val="edge"/>
          <c:x val="0.14355446206949229"/>
          <c:y val="7.41541319908515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09893171248331"/>
          <c:y val="0.18451336791582706"/>
          <c:w val="0.75240594925634297"/>
          <c:h val="0.60046498001617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Property Crime Rate    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Sheet1!$J$4:$N$4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Sheet1!$J$11:$N$11</c:f>
              <c:numCache>
                <c:formatCode>_(* #,##0_);_(* \(#,##0\);_(* "-"??_);_(@_)</c:formatCode>
                <c:ptCount val="3"/>
                <c:pt idx="0">
                  <c:v>3138.7369278740448</c:v>
                </c:pt>
                <c:pt idx="1">
                  <c:v>2884.6505099086507</c:v>
                </c:pt>
                <c:pt idx="2">
                  <c:v>3022.9322164514601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6-47F8-BFA1-C2D935C2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5836936"/>
        <c:axId val="145837328"/>
      </c:barChart>
      <c:lineChart>
        <c:grouping val="standard"/>
        <c:varyColors val="0"/>
        <c:ser>
          <c:idx val="1"/>
          <c:order val="1"/>
          <c:tx>
            <c:strRef>
              <c:f>Sheet1!$B$9</c:f>
              <c:strCache>
                <c:ptCount val="1"/>
                <c:pt idx="0">
                  <c:v>Violent Crime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Sheet1!$J$4:$N$4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Sheet1!$J$9:$N$9</c:f>
              <c:numCache>
                <c:formatCode>0</c:formatCode>
                <c:ptCount val="3"/>
                <c:pt idx="0">
                  <c:v>387.42793190526083</c:v>
                </c:pt>
                <c:pt idx="1">
                  <c:v>385.51130379767494</c:v>
                </c:pt>
                <c:pt idx="2">
                  <c:v>371.496037941861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6-47F8-BFA1-C2D935C2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89232"/>
        <c:axId val="538888912"/>
      </c:lineChart>
      <c:catAx>
        <c:axId val="14583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7328"/>
        <c:crosses val="autoZero"/>
        <c:auto val="1"/>
        <c:lblAlgn val="ctr"/>
        <c:lblOffset val="100"/>
        <c:noMultiLvlLbl val="0"/>
      </c:catAx>
      <c:valAx>
        <c:axId val="145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6936"/>
        <c:crosses val="autoZero"/>
        <c:crossBetween val="between"/>
      </c:valAx>
      <c:valAx>
        <c:axId val="538888912"/>
        <c:scaling>
          <c:orientation val="minMax"/>
          <c:min val="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38889232"/>
        <c:crosses val="max"/>
        <c:crossBetween val="between"/>
      </c:valAx>
      <c:catAx>
        <c:axId val="53888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8888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Property and Violent Crime Rates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>
                <a:solidFill>
                  <a:sysClr val="windowText" lastClr="000000"/>
                </a:solidFill>
              </a:rPr>
              <a:t>Per 100,000 People, Travis County</a:t>
            </a:r>
          </a:p>
        </c:rich>
      </c:tx>
      <c:layout>
        <c:manualLayout>
          <c:xMode val="edge"/>
          <c:yMode val="edge"/>
          <c:x val="0.12533928505684683"/>
          <c:y val="2.290791277318906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09893171248331"/>
          <c:y val="0.18451336791582706"/>
          <c:w val="0.75240594925634297"/>
          <c:h val="0.60046498001617032"/>
        </c:manualLayout>
      </c:layout>
      <c:lineChart>
        <c:grouping val="standar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Property Crime Rate        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Sheet1!$P$4:$T$4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Sheet1!$P$11:$T$11</c:f>
              <c:numCache>
                <c:formatCode>_(* #,##0_);_(* \(#,##0\);_(* "-"??_);_(@_)</c:formatCode>
                <c:ptCount val="5"/>
                <c:pt idx="0">
                  <c:v>3142.266298269361</c:v>
                </c:pt>
                <c:pt idx="1">
                  <c:v>2915.4739028405002</c:v>
                </c:pt>
                <c:pt idx="2">
                  <c:v>2985.9369738599949</c:v>
                </c:pt>
                <c:pt idx="3">
                  <c:v>2873.5851186440436</c:v>
                </c:pt>
                <c:pt idx="4">
                  <c:v>2794.3150386564621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C-4AEF-952B-4F093CB52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36936"/>
        <c:axId val="145837328"/>
      </c:lineChart>
      <c:lineChart>
        <c:grouping val="standard"/>
        <c:varyColors val="0"/>
        <c:ser>
          <c:idx val="1"/>
          <c:order val="1"/>
          <c:tx>
            <c:strRef>
              <c:f>Sheet1!$B$9</c:f>
              <c:strCache>
                <c:ptCount val="1"/>
                <c:pt idx="0">
                  <c:v>Violent Crime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Sheet1!$P$4:$T$4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Sheet1!$P$9:$T$9</c:f>
              <c:numCache>
                <c:formatCode>0</c:formatCode>
                <c:ptCount val="5"/>
                <c:pt idx="0">
                  <c:v>419.54430553064765</c:v>
                </c:pt>
                <c:pt idx="1">
                  <c:v>439.80188760830151</c:v>
                </c:pt>
                <c:pt idx="2">
                  <c:v>461.12233948917901</c:v>
                </c:pt>
                <c:pt idx="3">
                  <c:v>437.93647153053439</c:v>
                </c:pt>
                <c:pt idx="4">
                  <c:v>404.09549545082677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C-4AEF-952B-4F093CB52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89232"/>
        <c:axId val="538888912"/>
      </c:lineChart>
      <c:catAx>
        <c:axId val="14583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7328"/>
        <c:crosses val="autoZero"/>
        <c:auto val="1"/>
        <c:lblAlgn val="ctr"/>
        <c:lblOffset val="100"/>
        <c:noMultiLvlLbl val="0"/>
      </c:catAx>
      <c:valAx>
        <c:axId val="145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5836936"/>
        <c:crosses val="autoZero"/>
        <c:crossBetween val="between"/>
      </c:valAx>
      <c:valAx>
        <c:axId val="538888912"/>
        <c:scaling>
          <c:orientation val="minMax"/>
          <c:min val="25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38889232"/>
        <c:crosses val="max"/>
        <c:crossBetween val="between"/>
      </c:valAx>
      <c:catAx>
        <c:axId val="53888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8888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2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3275429387116104E-3"/>
          <c:y val="0.88161954127209108"/>
          <c:w val="0.97716697987781131"/>
          <c:h val="8.6413210513980987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288485</xdr:colOff>
      <xdr:row>17</xdr:row>
      <xdr:rowOff>149772</xdr:rowOff>
    </xdr:from>
    <xdr:to>
      <xdr:col>25</xdr:col>
      <xdr:colOff>650668</xdr:colOff>
      <xdr:row>32</xdr:row>
      <xdr:rowOff>15092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96116</xdr:colOff>
      <xdr:row>3</xdr:row>
      <xdr:rowOff>18574</xdr:rowOff>
    </xdr:from>
    <xdr:to>
      <xdr:col>38</xdr:col>
      <xdr:colOff>504251</xdr:colOff>
      <xdr:row>15</xdr:row>
      <xdr:rowOff>52558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28</xdr:col>
      <xdr:colOff>0</xdr:colOff>
      <xdr:row>40</xdr:row>
      <xdr:rowOff>0</xdr:rowOff>
    </xdr:from>
    <xdr:to>
      <xdr:col>33</xdr:col>
      <xdr:colOff>590569</xdr:colOff>
      <xdr:row>54</xdr:row>
      <xdr:rowOff>130955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68439" y="7452732"/>
          <a:ext cx="3645724" cy="2883658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38</xdr:row>
      <xdr:rowOff>0</xdr:rowOff>
    </xdr:from>
    <xdr:to>
      <xdr:col>27</xdr:col>
      <xdr:colOff>406911</xdr:colOff>
      <xdr:row>49</xdr:row>
      <xdr:rowOff>92799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88537" y="7081024"/>
          <a:ext cx="3481118" cy="2292295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15</xdr:row>
      <xdr:rowOff>27878</xdr:rowOff>
    </xdr:from>
    <xdr:to>
      <xdr:col>32</xdr:col>
      <xdr:colOff>408135</xdr:colOff>
      <xdr:row>28</xdr:row>
      <xdr:rowOff>55756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007192-F1C5-49F2-B7D9-C24C33C86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29</xdr:row>
      <xdr:rowOff>0</xdr:rowOff>
    </xdr:from>
    <xdr:to>
      <xdr:col>32</xdr:col>
      <xdr:colOff>408135</xdr:colOff>
      <xdr:row>42</xdr:row>
      <xdr:rowOff>27878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23F1089-D55C-421A-9974-239D655AA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108857</xdr:colOff>
      <xdr:row>1</xdr:row>
      <xdr:rowOff>97972</xdr:rowOff>
    </xdr:from>
    <xdr:to>
      <xdr:col>30</xdr:col>
      <xdr:colOff>516992</xdr:colOff>
      <xdr:row>14</xdr:row>
      <xdr:rowOff>124175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A0C5DE2-383A-4422-8B6F-9DCD148A6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0.47671</cdr:x>
      <cdr:y>0.53181</cdr:y>
    </cdr:from>
    <cdr:to>
      <cdr:x>0.97156</cdr:x>
      <cdr:y>0.63243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F1DD119-6C68-418A-A41D-82128499F203}"/>
            </a:ext>
          </a:extLst>
        </cdr:cNvPr>
        <cdr:cNvSpPr txBox="1"/>
      </cdr:nvSpPr>
      <cdr:spPr>
        <a:xfrm xmlns:a="http://schemas.openxmlformats.org/drawingml/2006/main">
          <a:off x="1731875" y="1389902"/>
          <a:ext cx="1797752" cy="2629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50196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Target: 1% annual reduction</a:t>
          </a:r>
        </a:p>
      </cdr:txBody>
    </cdr:sp>
  </cdr:relSizeAnchor>
  <cdr:relSizeAnchor xmlns:cdr="http://schemas.openxmlformats.org/drawingml/2006/chartDrawing">
    <cdr:from>
      <cdr:x>0.13184</cdr:x>
      <cdr:y>0.43202</cdr:y>
    </cdr:from>
    <cdr:to>
      <cdr:x>0.99268</cdr:x>
      <cdr:y>0.43373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BECCD520-A61A-446D-8F8F-F483ADC8A2C1}"/>
            </a:ext>
          </a:extLst>
        </cdr:cNvPr>
        <cdr:cNvCxnSpPr/>
      </cdr:nvCxnSpPr>
      <cdr:spPr>
        <a:xfrm xmlns:a="http://schemas.openxmlformats.org/drawingml/2006/main">
          <a:off x="478963" y="1129081"/>
          <a:ext cx="3127389" cy="447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0.13137</cdr:x>
      <cdr:y>0.78289</cdr:y>
    </cdr:from>
    <cdr:to>
      <cdr:x>0.99221</cdr:x>
      <cdr:y>0.78459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2D2B3A2E-52A7-4265-A77B-841ED1AA290D}"/>
            </a:ext>
          </a:extLst>
        </cdr:cNvPr>
        <cdr:cNvCxnSpPr/>
      </cdr:nvCxnSpPr>
      <cdr:spPr>
        <a:xfrm xmlns:a="http://schemas.openxmlformats.org/drawingml/2006/main">
          <a:off x="477274" y="2046098"/>
          <a:ext cx="3127391" cy="444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0.84201</cdr:x>
      <cdr:y>0.64023</cdr:y>
    </cdr:from>
    <cdr:to>
      <cdr:x>0.84205</cdr:x>
      <cdr:y>0.77674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A66CB86B-A4EC-4097-8DFD-B2B529B8ADAC}"/>
            </a:ext>
          </a:extLst>
        </cdr:cNvPr>
        <cdr:cNvCxnSpPr/>
      </cdr:nvCxnSpPr>
      <cdr:spPr>
        <a:xfrm xmlns:a="http://schemas.openxmlformats.org/drawingml/2006/main">
          <a:off x="3057481" y="1670050"/>
          <a:ext cx="137" cy="35609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0.84201</cdr:x>
      <cdr:y>0.43966</cdr:y>
    </cdr:from>
    <cdr:to>
      <cdr:x>0.84201</cdr:x>
      <cdr:y>0.52657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B51AF955-D263-49FE-AFC1-5FFC34B26A06}"/>
            </a:ext>
          </a:extLst>
        </cdr:cNvPr>
        <cdr:cNvCxnSpPr/>
      </cdr:nvCxnSpPr>
      <cdr:spPr>
        <a:xfrm xmlns:a="http://schemas.openxmlformats.org/drawingml/2006/main" flipV="1">
          <a:off x="3058988" y="1149065"/>
          <a:ext cx="0" cy="22713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0.53621</cdr:x>
      <cdr:y>0.26753</cdr:y>
    </cdr:from>
    <cdr:to>
      <cdr:x>0.93453</cdr:x>
      <cdr:y>0.34094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8BD0837-B250-4EBA-B695-940784BAB5B7}"/>
            </a:ext>
          </a:extLst>
        </cdr:cNvPr>
        <cdr:cNvSpPr txBox="1"/>
      </cdr:nvSpPr>
      <cdr:spPr>
        <a:xfrm xmlns:a="http://schemas.openxmlformats.org/drawingml/2006/main">
          <a:off x="1851811" y="647456"/>
          <a:ext cx="1375616" cy="17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/>
            <a:t>Target: 1% annual reduction</a:t>
          </a:r>
        </a:p>
      </cdr:txBody>
    </cdr:sp>
  </cdr:relSizeAnchor>
  <cdr:relSizeAnchor xmlns:cdr="http://schemas.openxmlformats.org/drawingml/2006/chartDrawing">
    <cdr:from>
      <cdr:x>0.74938</cdr:x>
      <cdr:y>0.32886</cdr:y>
    </cdr:from>
    <cdr:to>
      <cdr:x>0.91376</cdr:x>
      <cdr:y>0.32894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F2EA0DA-1EF5-4F83-A29A-23F19261565D}"/>
            </a:ext>
          </a:extLst>
        </cdr:cNvPr>
        <cdr:cNvCxnSpPr/>
      </cdr:nvCxnSpPr>
      <cdr:spPr>
        <a:xfrm xmlns:a="http://schemas.openxmlformats.org/drawingml/2006/main" flipV="1">
          <a:off x="2584597" y="789188"/>
          <a:ext cx="566928" cy="192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0.14258</cdr:x>
      <cdr:y>0.36247</cdr:y>
    </cdr:from>
    <cdr:to>
      <cdr:x>0.77755</cdr:x>
      <cdr:y>0.36255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10BB6228-EA55-4496-914D-87661C42C13D}"/>
            </a:ext>
          </a:extLst>
        </cdr:cNvPr>
        <cdr:cNvCxnSpPr/>
      </cdr:nvCxnSpPr>
      <cdr:spPr>
        <a:xfrm xmlns:a="http://schemas.openxmlformats.org/drawingml/2006/main" flipV="1">
          <a:off x="492759" y="871855"/>
          <a:ext cx="2194560" cy="18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tabSelected="1" zoomScale="120" zoomScaleNormal="120" workbookViewId="0">
      <selection activeCell="V9" sqref="V9"/>
    </sheetView>
  </sheetViews>
  <sheetFormatPr defaultRowHeight="15" x14ac:dyDescent="0.25"/>
  <cols>
    <col min="1" max="1" width="23.7109375" customWidth="1"/>
    <col min="2" max="2" width="24" customWidth="1"/>
    <col min="3" max="3" width="9.28515625" hidden="1" customWidth="1"/>
    <col min="4" max="4" width="10.140625" hidden="1" customWidth="1"/>
    <col min="5" max="6" width="9.42578125" hidden="1" customWidth="1"/>
    <col min="7" max="8" width="9.28515625" hidden="1" customWidth="1"/>
    <col min="9" max="9" width="12.42578125" hidden="1" customWidth="1"/>
    <col min="10" max="10" width="10.7109375" style="8" hidden="1" customWidth="1"/>
    <col min="11" max="11" width="9.140625" hidden="1" customWidth="1"/>
    <col min="12" max="12" width="9.140625" customWidth="1"/>
    <col min="21" max="21" width="8.85546875" customWidth="1"/>
  </cols>
  <sheetData>
    <row r="1" spans="1:32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2" x14ac:dyDescent="0.25">
      <c r="A3" s="22" t="s">
        <v>1</v>
      </c>
      <c r="B3" s="2"/>
      <c r="C3" s="2"/>
      <c r="D3" s="2"/>
      <c r="E3" s="2"/>
      <c r="F3" s="2"/>
      <c r="G3" s="2"/>
      <c r="H3" s="2"/>
      <c r="I3" s="2"/>
      <c r="J3" s="6">
        <f>(I7-H7)/H7</f>
        <v>-7.3381324900133119E-2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32" x14ac:dyDescent="0.25">
      <c r="A4" s="2"/>
      <c r="B4" s="2"/>
      <c r="C4" s="3">
        <v>2007</v>
      </c>
      <c r="D4" s="3">
        <v>2008</v>
      </c>
      <c r="E4" s="3">
        <v>2009</v>
      </c>
      <c r="F4" s="3">
        <v>2010</v>
      </c>
      <c r="G4" s="3">
        <v>2011</v>
      </c>
      <c r="H4" s="3">
        <v>2012</v>
      </c>
      <c r="I4" s="3">
        <v>2013</v>
      </c>
      <c r="J4" s="3">
        <v>2014</v>
      </c>
      <c r="K4" s="3">
        <v>2015</v>
      </c>
      <c r="L4" s="3">
        <v>2016</v>
      </c>
      <c r="M4" s="3">
        <v>2017</v>
      </c>
      <c r="N4" s="3">
        <v>2018</v>
      </c>
      <c r="O4" s="3">
        <v>2019</v>
      </c>
      <c r="P4" s="3">
        <v>2020</v>
      </c>
      <c r="Q4" s="3">
        <v>2021</v>
      </c>
      <c r="R4" s="3">
        <v>2022</v>
      </c>
      <c r="S4" s="3">
        <v>2023</v>
      </c>
      <c r="T4" s="3">
        <v>2024</v>
      </c>
      <c r="U4" s="3"/>
      <c r="V4" s="3" t="s">
        <v>28</v>
      </c>
      <c r="W4" s="3" t="s">
        <v>29</v>
      </c>
      <c r="X4" s="2" t="s">
        <v>24</v>
      </c>
      <c r="Y4" s="2"/>
    </row>
    <row r="5" spans="1:32" x14ac:dyDescent="0.25">
      <c r="A5" s="2"/>
      <c r="B5" s="4" t="s">
        <v>2</v>
      </c>
      <c r="C5" s="6">
        <v>948241</v>
      </c>
      <c r="D5" s="6">
        <v>1008075</v>
      </c>
      <c r="E5" s="6">
        <v>1035099</v>
      </c>
      <c r="F5" s="6">
        <v>1069189</v>
      </c>
      <c r="G5" s="6">
        <v>1079093</v>
      </c>
      <c r="H5" s="6">
        <v>1113744</v>
      </c>
      <c r="I5" s="11">
        <v>1155784</v>
      </c>
      <c r="J5" s="6">
        <v>1205571</v>
      </c>
      <c r="K5" s="6">
        <v>1241359</v>
      </c>
      <c r="L5" s="6">
        <v>1261654</v>
      </c>
      <c r="M5" s="6">
        <v>1286603</v>
      </c>
      <c r="N5" s="6">
        <v>1295034</v>
      </c>
      <c r="O5" s="6">
        <v>1313366</v>
      </c>
      <c r="P5" s="6">
        <v>1343839</v>
      </c>
      <c r="Q5" s="6">
        <v>1364478</v>
      </c>
      <c r="R5" s="6">
        <v>1369051</v>
      </c>
      <c r="S5" s="6">
        <v>1390841</v>
      </c>
      <c r="T5" s="6">
        <v>1411795</v>
      </c>
      <c r="U5" s="6"/>
      <c r="V5" s="2"/>
      <c r="W5" s="2"/>
      <c r="X5" s="2"/>
      <c r="Y5" s="2"/>
    </row>
    <row r="6" spans="1:32" x14ac:dyDescent="0.25">
      <c r="A6" s="2"/>
      <c r="B6" s="4" t="s">
        <v>3</v>
      </c>
      <c r="C6" s="6">
        <v>55889</v>
      </c>
      <c r="D6" s="6">
        <v>55909</v>
      </c>
      <c r="E6" s="6">
        <v>60238</v>
      </c>
      <c r="F6" s="6">
        <v>57277</v>
      </c>
      <c r="G6" s="6">
        <v>52718</v>
      </c>
      <c r="H6" s="6">
        <v>53531</v>
      </c>
      <c r="I6" s="11">
        <v>51475</v>
      </c>
      <c r="J6" s="6">
        <f>47402+680</f>
        <v>48082</v>
      </c>
      <c r="K6" s="6">
        <v>45640</v>
      </c>
      <c r="L6" s="6">
        <v>44488</v>
      </c>
      <c r="M6" s="6">
        <v>42074</v>
      </c>
      <c r="N6" s="6">
        <v>43959</v>
      </c>
      <c r="O6" s="6">
        <v>47629</v>
      </c>
      <c r="P6" s="6">
        <v>47865</v>
      </c>
      <c r="Q6" s="6">
        <v>45782</v>
      </c>
      <c r="R6" s="6">
        <v>47192</v>
      </c>
      <c r="S6" s="6">
        <v>46058</v>
      </c>
      <c r="T6" s="6">
        <v>45155</v>
      </c>
      <c r="U6" s="6"/>
      <c r="V6" s="2"/>
      <c r="W6" s="2"/>
      <c r="X6" s="2"/>
      <c r="Y6" s="2"/>
    </row>
    <row r="7" spans="1:32" x14ac:dyDescent="0.25">
      <c r="A7" s="2"/>
      <c r="B7" s="4" t="s">
        <v>4</v>
      </c>
      <c r="C7" s="6">
        <v>5893.9657745235654</v>
      </c>
      <c r="D7" s="6">
        <v>5546.1151204027474</v>
      </c>
      <c r="E7" s="6">
        <v>5819.5399667084985</v>
      </c>
      <c r="F7" s="6">
        <v>5357.0509984670625</v>
      </c>
      <c r="G7" s="6">
        <v>4885.3991268593163</v>
      </c>
      <c r="H7" s="6">
        <v>4806.3999999999996</v>
      </c>
      <c r="I7" s="11">
        <v>4453.7</v>
      </c>
      <c r="J7" s="13">
        <v>3988.317569019162</v>
      </c>
      <c r="K7" s="16">
        <v>3677</v>
      </c>
      <c r="L7" s="16">
        <v>3526.2</v>
      </c>
      <c r="M7" s="13">
        <v>3270</v>
      </c>
      <c r="N7" s="13">
        <f t="shared" ref="N7" si="0">((N6/N5)*100000)</f>
        <v>3394.4282543933209</v>
      </c>
      <c r="O7" s="13">
        <f>((O6/O5)*100000)</f>
        <v>3626.4834021894885</v>
      </c>
      <c r="P7" s="13">
        <f>((P6/P5)*100000)</f>
        <v>3561.8106038000087</v>
      </c>
      <c r="Q7" s="13">
        <v>3355.2757904488017</v>
      </c>
      <c r="R7" s="13">
        <v>3447.0593133491739</v>
      </c>
      <c r="S7" s="13">
        <v>3311.5215901745778</v>
      </c>
      <c r="T7" s="13">
        <v>3198.4105341072891</v>
      </c>
      <c r="U7" s="16"/>
      <c r="V7" s="18">
        <f>(T7-P7)/P7</f>
        <v>-0.10202678079093172</v>
      </c>
      <c r="W7" s="18">
        <f>(T7-R7)/R7</f>
        <v>-7.2133594649491775E-2</v>
      </c>
      <c r="X7" s="2"/>
      <c r="Y7" s="2"/>
    </row>
    <row r="8" spans="1:32" x14ac:dyDescent="0.25">
      <c r="A8" s="2"/>
      <c r="B8" s="4" t="s">
        <v>5</v>
      </c>
      <c r="C8" s="6">
        <v>4251</v>
      </c>
      <c r="D8" s="6">
        <v>4355</v>
      </c>
      <c r="E8" s="6">
        <v>4726</v>
      </c>
      <c r="F8" s="6">
        <v>4471</v>
      </c>
      <c r="G8" s="6">
        <v>3990</v>
      </c>
      <c r="H8" s="6">
        <f>(1+15+36+396)+(31+209+978+2187)+(0+2+4+16)+(0+0+0+0)+(0+1+0+0)+(0+3+4+1)+(1+9+6+45)+(0+0+0+23)+(0+0+6+2)+(0+4+1+6)+(0+0+2+5)+(0+0+0+0)+(0+1+4+7)+(0+2+0+10)+(0+0+0+5)</f>
        <v>4023</v>
      </c>
      <c r="I8" s="11">
        <f>36+257+821+2646</f>
        <v>3760</v>
      </c>
      <c r="J8" s="6">
        <v>4309</v>
      </c>
      <c r="K8" s="6">
        <f>(27+598+1032+2657)</f>
        <v>4314</v>
      </c>
      <c r="L8" s="6">
        <f>(53+846+1156+2833)</f>
        <v>4888</v>
      </c>
      <c r="M8" s="6">
        <v>4960</v>
      </c>
      <c r="N8" s="6">
        <v>4811</v>
      </c>
      <c r="O8" s="6">
        <v>5012</v>
      </c>
      <c r="P8" s="6">
        <v>5638</v>
      </c>
      <c r="Q8" s="6">
        <v>6001</v>
      </c>
      <c r="R8" s="6">
        <v>6313</v>
      </c>
      <c r="S8" s="6">
        <v>6091</v>
      </c>
      <c r="T8" s="6">
        <v>5705</v>
      </c>
      <c r="U8" s="6"/>
      <c r="V8" s="2"/>
      <c r="W8" s="2"/>
      <c r="X8" s="2"/>
      <c r="Y8" s="2"/>
    </row>
    <row r="9" spans="1:32" x14ac:dyDescent="0.25">
      <c r="A9" s="2"/>
      <c r="B9" s="4" t="s">
        <v>6</v>
      </c>
      <c r="C9" s="6">
        <v>448.30375400346537</v>
      </c>
      <c r="D9" s="6">
        <v>432.01150708032634</v>
      </c>
      <c r="E9" s="6">
        <v>456.57468512673665</v>
      </c>
      <c r="F9" s="6">
        <v>418.16741474145363</v>
      </c>
      <c r="G9" s="6">
        <v>369.75497014622465</v>
      </c>
      <c r="H9" s="6">
        <f>100000*(H8/H5)</f>
        <v>361.2140671464897</v>
      </c>
      <c r="I9" s="11">
        <f>100000*(I8/I5)</f>
        <v>325.32030206336134</v>
      </c>
      <c r="J9" s="6">
        <v>357.42399244839169</v>
      </c>
      <c r="K9" s="6">
        <f>100000*(K8/K5)</f>
        <v>347.52235251848981</v>
      </c>
      <c r="L9" s="6">
        <f>100000*(L8/L5)</f>
        <v>387.42793190526083</v>
      </c>
      <c r="M9" s="6">
        <f>(100000)*(M8)/M5</f>
        <v>385.51130379767494</v>
      </c>
      <c r="N9" s="6">
        <f t="shared" ref="N9:O9" si="1">(100000)*(N8)/N5</f>
        <v>371.496037941861</v>
      </c>
      <c r="O9" s="6">
        <f t="shared" si="1"/>
        <v>381.61487353867847</v>
      </c>
      <c r="P9" s="6">
        <f>(100000)*(P8)/P5</f>
        <v>419.54430553064765</v>
      </c>
      <c r="Q9" s="6">
        <v>439.80188760830151</v>
      </c>
      <c r="R9" s="6">
        <v>461.12233948917901</v>
      </c>
      <c r="S9" s="6">
        <v>437.93647153053439</v>
      </c>
      <c r="T9" s="6">
        <v>404.09549545082677</v>
      </c>
      <c r="U9" s="6"/>
      <c r="V9" s="18">
        <f>(T9-P9)/P9</f>
        <v>-3.6822833431813411E-2</v>
      </c>
      <c r="W9" s="18">
        <f>(T9-S9)/S9</f>
        <v>-7.7273710411552496E-2</v>
      </c>
      <c r="X9" s="19">
        <f>((S9)-0.01*(S9))</f>
        <v>433.55710681522902</v>
      </c>
      <c r="Y9" s="2"/>
      <c r="AE9" s="8"/>
      <c r="AF9" s="8"/>
    </row>
    <row r="10" spans="1:32" x14ac:dyDescent="0.25">
      <c r="A10" s="2"/>
      <c r="B10" s="4" t="s">
        <v>7</v>
      </c>
      <c r="C10" s="6">
        <v>51638</v>
      </c>
      <c r="D10" s="6">
        <v>51550</v>
      </c>
      <c r="E10" s="6">
        <v>55512</v>
      </c>
      <c r="F10" s="6">
        <v>52814</v>
      </c>
      <c r="G10" s="6">
        <v>48728</v>
      </c>
      <c r="H10" s="6">
        <f>(966+2073+143)+(7244+33913+2315)+(40+103+2)+(8+6+2)+(21+71+1)+(36+441+8)+(140+637+25)+(24+151+6)+(3+95+7)+(9+53+1)+(18+33+0)+(16+9+2)+(27+640+1)+(17+121+7)+(3+65+5)</f>
        <v>49508</v>
      </c>
      <c r="I10" s="11">
        <f>7768+37551+2396</f>
        <v>47715</v>
      </c>
      <c r="J10" s="6">
        <v>43773</v>
      </c>
      <c r="K10" s="6">
        <f>(6154+32558+2614)</f>
        <v>41326</v>
      </c>
      <c r="L10" s="6">
        <f>(6397+30746+2457)</f>
        <v>39600</v>
      </c>
      <c r="M10" s="6">
        <v>37114</v>
      </c>
      <c r="N10" s="6">
        <v>39148</v>
      </c>
      <c r="O10" s="6">
        <v>42617</v>
      </c>
      <c r="P10" s="6">
        <v>42227</v>
      </c>
      <c r="Q10" s="6">
        <v>39781</v>
      </c>
      <c r="R10" s="6">
        <v>40879</v>
      </c>
      <c r="S10" s="6">
        <v>39967</v>
      </c>
      <c r="T10" s="6">
        <v>39450</v>
      </c>
      <c r="U10" s="6"/>
      <c r="V10" s="2"/>
      <c r="W10" s="2"/>
      <c r="X10" s="2"/>
      <c r="Y10" s="2"/>
    </row>
    <row r="11" spans="1:32" x14ac:dyDescent="0.25">
      <c r="A11" s="2"/>
      <c r="B11" s="4" t="s">
        <v>25</v>
      </c>
      <c r="C11" s="6">
        <v>5445.6620205200998</v>
      </c>
      <c r="D11" s="6">
        <v>5113.7068174490987</v>
      </c>
      <c r="E11" s="6">
        <v>5362.9652815817617</v>
      </c>
      <c r="F11" s="6">
        <v>4939.6318143938997</v>
      </c>
      <c r="G11" s="6">
        <v>4515.6441567130914</v>
      </c>
      <c r="H11" s="6">
        <f>100000*(H10/H5)</f>
        <v>4445.186685629732</v>
      </c>
      <c r="I11" s="11">
        <f>100000*(I10/I5)</f>
        <v>4128.366545998214</v>
      </c>
      <c r="J11" s="11">
        <v>3630.8935765707702</v>
      </c>
      <c r="K11" s="17">
        <f t="shared" ref="K11:L11" si="2">100000*(K10/K5)</f>
        <v>3329.0933565551945</v>
      </c>
      <c r="L11" s="17">
        <f t="shared" si="2"/>
        <v>3138.7369278740448</v>
      </c>
      <c r="M11" s="11">
        <f>(100000)*(M10/M5)</f>
        <v>2884.6505099086507</v>
      </c>
      <c r="N11" s="11">
        <f t="shared" ref="N11:O11" si="3">(100000)*(N10/N5)</f>
        <v>3022.9322164514601</v>
      </c>
      <c r="O11" s="11">
        <f t="shared" si="3"/>
        <v>3244.8685286508098</v>
      </c>
      <c r="P11" s="11">
        <f>(100000)*(P10/P5)</f>
        <v>3142.266298269361</v>
      </c>
      <c r="Q11" s="11">
        <v>2915.4739028405002</v>
      </c>
      <c r="R11" s="11">
        <v>2985.9369738599949</v>
      </c>
      <c r="S11" s="11">
        <v>2873.5851186440436</v>
      </c>
      <c r="T11" s="11">
        <v>2794.3150386564621</v>
      </c>
      <c r="U11" s="17"/>
      <c r="V11" s="20">
        <f>(T11-P11)/P11</f>
        <v>-0.11073258170529245</v>
      </c>
      <c r="W11" s="23">
        <f>(T11-S11)/S11</f>
        <v>-2.75857775965191E-2</v>
      </c>
      <c r="X11" s="19">
        <f>((S11)-0.01*(S11))</f>
        <v>2844.8492674576032</v>
      </c>
      <c r="Y11" s="2"/>
    </row>
    <row r="12" spans="1:32" x14ac:dyDescent="0.25">
      <c r="A12" s="2"/>
      <c r="B12" s="2"/>
      <c r="C12" s="2"/>
      <c r="D12" s="2"/>
      <c r="E12" s="2"/>
      <c r="F12" s="2"/>
      <c r="G12" s="2"/>
      <c r="H12" s="2"/>
      <c r="I12" s="2"/>
      <c r="J12" s="6"/>
      <c r="K12" s="2"/>
      <c r="L12" s="2"/>
      <c r="M12" s="6"/>
      <c r="N12" s="6"/>
      <c r="O12" s="6"/>
      <c r="P12" s="6"/>
      <c r="Q12" s="6"/>
      <c r="R12" s="6"/>
      <c r="S12" s="6"/>
      <c r="T12" s="6"/>
      <c r="U12" s="2"/>
      <c r="V12" s="2"/>
      <c r="W12" s="2"/>
      <c r="X12" s="2"/>
    </row>
    <row r="13" spans="1:32" x14ac:dyDescent="0.25">
      <c r="A13" s="2"/>
      <c r="B13" s="4"/>
      <c r="C13" s="6"/>
      <c r="D13" s="6"/>
      <c r="E13" s="6"/>
      <c r="F13" s="6"/>
      <c r="G13" s="6"/>
      <c r="H13" s="6"/>
      <c r="I13" s="6"/>
      <c r="J13" s="6"/>
      <c r="K13" s="2"/>
      <c r="L13" s="2"/>
      <c r="M13" s="6"/>
      <c r="N13" s="6"/>
      <c r="O13" s="6"/>
      <c r="P13" s="6"/>
      <c r="Q13" s="6"/>
      <c r="R13" s="6"/>
      <c r="S13" s="6"/>
      <c r="T13" s="6"/>
      <c r="U13" s="2"/>
      <c r="V13" s="2"/>
      <c r="W13" s="2"/>
      <c r="X13" s="2"/>
    </row>
    <row r="14" spans="1:32" x14ac:dyDescent="0.25">
      <c r="A14" s="10" t="s">
        <v>11</v>
      </c>
      <c r="B14" s="2"/>
      <c r="C14" s="2"/>
      <c r="D14" s="2"/>
      <c r="E14" s="2"/>
      <c r="F14" s="2"/>
      <c r="G14" s="2"/>
      <c r="H14" s="2"/>
      <c r="I14" s="2"/>
      <c r="J14" s="6"/>
      <c r="K14" s="2"/>
      <c r="L14" s="2"/>
      <c r="M14" s="6"/>
      <c r="N14" s="6"/>
      <c r="O14" s="6"/>
      <c r="P14" s="6"/>
      <c r="Q14" s="6"/>
      <c r="R14" s="6"/>
      <c r="S14" s="6"/>
      <c r="T14" s="6"/>
      <c r="U14" s="2"/>
      <c r="V14" s="2"/>
      <c r="W14" s="2"/>
      <c r="X14" s="2"/>
    </row>
    <row r="15" spans="1:32" ht="16.5" customHeight="1" x14ac:dyDescent="0.25">
      <c r="A15" s="2"/>
      <c r="B15" s="2"/>
      <c r="C15" s="3">
        <v>2007</v>
      </c>
      <c r="D15" s="3">
        <v>2008</v>
      </c>
      <c r="E15" s="3">
        <v>2009</v>
      </c>
      <c r="F15" s="3">
        <v>2010</v>
      </c>
      <c r="G15" s="3">
        <v>2011</v>
      </c>
      <c r="H15" s="3">
        <v>2012</v>
      </c>
      <c r="I15" s="3">
        <v>2013</v>
      </c>
      <c r="J15" s="2">
        <v>2014</v>
      </c>
      <c r="K15" s="3">
        <v>2015</v>
      </c>
      <c r="L15" s="3">
        <v>2016</v>
      </c>
      <c r="M15" s="3">
        <v>2017</v>
      </c>
      <c r="N15" s="3">
        <v>2018</v>
      </c>
      <c r="O15" s="3">
        <v>2019</v>
      </c>
      <c r="P15" s="3">
        <v>2020</v>
      </c>
      <c r="Q15" s="3">
        <v>2021</v>
      </c>
      <c r="R15" s="3">
        <v>2022</v>
      </c>
      <c r="S15" s="3">
        <v>2023</v>
      </c>
      <c r="T15" s="3">
        <v>2024</v>
      </c>
      <c r="U15" s="3"/>
    </row>
    <row r="16" spans="1:32" x14ac:dyDescent="0.25">
      <c r="A16" s="2"/>
      <c r="B16" s="4" t="s">
        <v>2</v>
      </c>
      <c r="C16" s="6">
        <f>79554+4155+616029+0+0+990+0+11855+31588+0</f>
        <v>744171</v>
      </c>
      <c r="D16" s="6">
        <f>78233+4149+612374+0+0+974+0+13488+32444+0</f>
        <v>741662</v>
      </c>
      <c r="E16" s="6">
        <f>78844+4401+618812+0+0+971+0+14408+32522+0</f>
        <v>749958</v>
      </c>
      <c r="F16" s="6">
        <f>78645+4550+624322+0+0+972+0+15025+32790+0</f>
        <v>756304</v>
      </c>
      <c r="G16" s="6">
        <f>98879+5116+662780+0+0+945+0+17087+32687+0</f>
        <v>817494</v>
      </c>
      <c r="H16" s="6">
        <v>811055</v>
      </c>
      <c r="I16" s="11">
        <v>838966</v>
      </c>
      <c r="J16" s="6">
        <v>839969</v>
      </c>
      <c r="K16" s="8">
        <v>841774</v>
      </c>
      <c r="L16" s="8">
        <v>838465</v>
      </c>
      <c r="M16" s="6">
        <v>842905</v>
      </c>
      <c r="N16" s="6">
        <v>843458</v>
      </c>
      <c r="O16" s="6">
        <v>840222</v>
      </c>
      <c r="P16" s="6">
        <v>840442</v>
      </c>
      <c r="Q16" s="6">
        <v>836739</v>
      </c>
      <c r="R16" s="6">
        <v>875027</v>
      </c>
      <c r="S16" s="6">
        <v>871431</v>
      </c>
      <c r="T16" s="6">
        <v>880452</v>
      </c>
      <c r="U16" s="8"/>
      <c r="AB16" s="7"/>
      <c r="AC16" s="7"/>
    </row>
    <row r="17" spans="1:29" x14ac:dyDescent="0.25">
      <c r="A17" s="2"/>
      <c r="B17" s="4" t="s">
        <v>3</v>
      </c>
      <c r="C17" s="6">
        <f>1508+198+22300+190+125+13+429+187+787+137</f>
        <v>25874</v>
      </c>
      <c r="D17" s="6">
        <f>1445+222+22527+201+169+13+413+230+848+238</f>
        <v>26306</v>
      </c>
      <c r="E17" s="6">
        <f>1570+217+21358+181+162+20+383+269+811+164</f>
        <v>25135</v>
      </c>
      <c r="F17" s="6">
        <f>1684+237+20265+260+154+15+431+218+695+140</f>
        <v>24099</v>
      </c>
      <c r="G17" s="6">
        <f>1570+202+19170+233+144+17+418+234+568+97</f>
        <v>22653</v>
      </c>
      <c r="H17" s="6">
        <v>22518</v>
      </c>
      <c r="I17" s="11">
        <v>21096</v>
      </c>
      <c r="J17" s="6">
        <v>20101</v>
      </c>
      <c r="K17" s="8">
        <v>18315</v>
      </c>
      <c r="L17" s="8">
        <v>17420</v>
      </c>
      <c r="M17" s="6">
        <v>17275</v>
      </c>
      <c r="N17" s="6">
        <v>14857</v>
      </c>
      <c r="O17" s="6">
        <v>14693</v>
      </c>
      <c r="P17" s="6">
        <v>12272</v>
      </c>
      <c r="Q17" s="6">
        <v>11906</v>
      </c>
      <c r="R17" s="6">
        <v>13708</v>
      </c>
      <c r="S17" s="6">
        <v>15591</v>
      </c>
      <c r="T17" s="6">
        <v>14213</v>
      </c>
      <c r="U17" s="8"/>
    </row>
    <row r="18" spans="1:29" x14ac:dyDescent="0.25">
      <c r="A18" s="2"/>
      <c r="B18" s="4" t="s">
        <v>4</v>
      </c>
      <c r="C18" s="6">
        <f>100000*(C17/C16)</f>
        <v>3476.889048350446</v>
      </c>
      <c r="D18" s="6">
        <f>100000*(D17/D16)</f>
        <v>3546.8987220593744</v>
      </c>
      <c r="E18" s="6">
        <f>100000*(E17/E16)</f>
        <v>3351.5210185103701</v>
      </c>
      <c r="F18" s="6">
        <f>100000*(F17/F16)</f>
        <v>3186.4171021176667</v>
      </c>
      <c r="G18" s="6">
        <f>100000*(G17/G16)</f>
        <v>2771.0295121432082</v>
      </c>
      <c r="H18" s="6">
        <v>2776.4</v>
      </c>
      <c r="I18" s="11">
        <v>2514.5</v>
      </c>
      <c r="J18" s="6">
        <v>2393.0645059520057</v>
      </c>
      <c r="K18" s="8">
        <v>2175.8000000000002</v>
      </c>
      <c r="L18" s="6">
        <v>2077.6</v>
      </c>
      <c r="M18" s="6">
        <v>2049.5</v>
      </c>
      <c r="N18" s="6">
        <f t="shared" ref="N18" si="4">((N17/N16)*100000)</f>
        <v>1761.4392180760631</v>
      </c>
      <c r="O18" s="6">
        <f>((O17/O16)*100000)</f>
        <v>1748.7045090464187</v>
      </c>
      <c r="P18" s="6">
        <f>((P17/P16)*100000)</f>
        <v>1460.1840460138831</v>
      </c>
      <c r="Q18" s="6">
        <v>1422.904872367608</v>
      </c>
      <c r="R18" s="6">
        <v>1566.580231238579</v>
      </c>
      <c r="S18" s="6">
        <v>1614.2844811528626</v>
      </c>
      <c r="T18" s="6">
        <v>1789.1261614516811</v>
      </c>
      <c r="U18" s="8"/>
    </row>
    <row r="19" spans="1:29" x14ac:dyDescent="0.25">
      <c r="A19" s="2"/>
      <c r="B19" s="4" t="s">
        <v>5</v>
      </c>
      <c r="C19" s="6"/>
      <c r="D19" s="6"/>
      <c r="E19" s="6"/>
      <c r="F19" s="6"/>
      <c r="G19" s="6"/>
      <c r="H19" s="6">
        <f>5+28+23+194+0+0+4+5+23+184+471+2181+0+1+0+4+0+0+0+2+0+0+0+0+0+3+0+26+0+0+3+25+0+4+6+45+0+0+0+3</f>
        <v>3240</v>
      </c>
      <c r="I19" s="11">
        <f>12+235+496+2114</f>
        <v>2857</v>
      </c>
      <c r="J19" s="6">
        <v>3056</v>
      </c>
      <c r="K19" s="8">
        <f>(23+370+444+2128)</f>
        <v>2965</v>
      </c>
      <c r="L19" s="8">
        <v>3055</v>
      </c>
      <c r="M19" s="6">
        <v>3016</v>
      </c>
      <c r="N19" s="6">
        <v>2917</v>
      </c>
      <c r="O19" s="6">
        <v>2802</v>
      </c>
      <c r="P19" s="6">
        <v>2607</v>
      </c>
      <c r="Q19" s="6">
        <v>2098</v>
      </c>
      <c r="R19" s="6">
        <v>2655</v>
      </c>
      <c r="S19" s="6">
        <v>2779</v>
      </c>
      <c r="T19" s="6">
        <v>2337</v>
      </c>
      <c r="U19" s="8"/>
      <c r="AB19" s="8"/>
      <c r="AC19" s="8"/>
    </row>
    <row r="20" spans="1:29" x14ac:dyDescent="0.25">
      <c r="A20" s="2"/>
      <c r="B20" s="4" t="s">
        <v>6</v>
      </c>
      <c r="C20" s="6"/>
      <c r="D20" s="6"/>
      <c r="E20" s="6"/>
      <c r="F20" s="6"/>
      <c r="G20" s="6"/>
      <c r="H20" s="6">
        <f>100000*(H19/H16)</f>
        <v>399.47969003335163</v>
      </c>
      <c r="I20" s="11">
        <f>100000*(I19/I16)</f>
        <v>340.538233968957</v>
      </c>
      <c r="J20" s="6">
        <v>363.82295060889152</v>
      </c>
      <c r="K20" s="8">
        <f>100000*(K19/K16)</f>
        <v>352.23230938470419</v>
      </c>
      <c r="L20" s="8">
        <f>100000*(L19/L16)</f>
        <v>364.35629394190573</v>
      </c>
      <c r="M20" s="6">
        <f>(100000)*(M19)/M16</f>
        <v>357.81019213315852</v>
      </c>
      <c r="N20" s="6">
        <f t="shared" ref="N20:P20" si="5">(100000)*(N19)/N16</f>
        <v>345.83820415480085</v>
      </c>
      <c r="O20" s="6">
        <f t="shared" si="5"/>
        <v>333.48329370095047</v>
      </c>
      <c r="P20" s="6">
        <f t="shared" si="5"/>
        <v>310.19392176973543</v>
      </c>
      <c r="Q20" s="6">
        <v>250.73529499640867</v>
      </c>
      <c r="R20" s="6">
        <v>303.41920877870052</v>
      </c>
      <c r="S20" s="6">
        <v>318.90075060446554</v>
      </c>
      <c r="T20" s="6">
        <v>265.43184636981914</v>
      </c>
      <c r="U20" s="8"/>
    </row>
    <row r="21" spans="1:29" x14ac:dyDescent="0.25">
      <c r="A21" s="2"/>
      <c r="B21" s="4" t="s">
        <v>7</v>
      </c>
      <c r="C21" s="6"/>
      <c r="D21" s="6"/>
      <c r="E21" s="6"/>
      <c r="F21" s="6"/>
      <c r="G21" s="6"/>
      <c r="H21" s="6">
        <f>303+829+128+16+153+12+1826+13425+1160+26+174+2+4+76+6+2+8+2+48+341+1+53+132+13+79+336+30+4+89+0</f>
        <v>19278</v>
      </c>
      <c r="I21" s="11">
        <f>2347+14931+961</f>
        <v>18239</v>
      </c>
      <c r="J21" s="6">
        <v>17045</v>
      </c>
      <c r="K21" s="8">
        <f>(1851+12552+947)</f>
        <v>15350</v>
      </c>
      <c r="L21" s="8">
        <v>14365</v>
      </c>
      <c r="M21" s="6">
        <v>14259</v>
      </c>
      <c r="N21" s="6">
        <v>11940</v>
      </c>
      <c r="O21" s="6">
        <v>11891</v>
      </c>
      <c r="P21" s="6">
        <v>9665</v>
      </c>
      <c r="Q21" s="6">
        <v>9808</v>
      </c>
      <c r="R21" s="6">
        <v>11053</v>
      </c>
      <c r="S21" s="6">
        <v>12812</v>
      </c>
      <c r="T21" s="6">
        <v>11876</v>
      </c>
      <c r="U21" s="8"/>
    </row>
    <row r="22" spans="1:29" x14ac:dyDescent="0.25">
      <c r="A22" s="2"/>
      <c r="B22" s="4" t="s">
        <v>8</v>
      </c>
      <c r="C22" s="6"/>
      <c r="D22" s="6"/>
      <c r="E22" s="6"/>
      <c r="F22" s="6"/>
      <c r="G22" s="6"/>
      <c r="H22" s="6">
        <f>100000*(H21/H16)</f>
        <v>2376.9041556984421</v>
      </c>
      <c r="I22" s="11">
        <f>100000*(I21/I16)</f>
        <v>2173.9855965557604</v>
      </c>
      <c r="J22" s="6">
        <v>2029.241555343114</v>
      </c>
      <c r="K22" s="8">
        <f>100000*(K21/K16)</f>
        <v>1823.5298310472883</v>
      </c>
      <c r="L22" s="8">
        <f>100000*(L21/L16)</f>
        <v>1713.2498076842803</v>
      </c>
      <c r="M22" s="6">
        <f>(100000)*(M21/M16)</f>
        <v>1691.649711414691</v>
      </c>
      <c r="N22" s="6">
        <v>1415.6</v>
      </c>
      <c r="O22" s="6">
        <v>1415.2212153454682</v>
      </c>
      <c r="P22" s="6">
        <f>(100000)*(P21/P16)</f>
        <v>1149.9901242441476</v>
      </c>
      <c r="Q22" s="6">
        <v>1172.1695773711995</v>
      </c>
      <c r="R22" s="6">
        <v>1263.1610224598783</v>
      </c>
      <c r="S22" s="6">
        <v>1470.2254108472157</v>
      </c>
      <c r="T22" s="6">
        <v>1348.8526347830432</v>
      </c>
      <c r="U22" s="8"/>
    </row>
    <row r="23" spans="1:29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6"/>
      <c r="M23" s="6"/>
      <c r="N23" s="6"/>
      <c r="O23" s="6"/>
      <c r="P23" s="6"/>
      <c r="Q23" s="6"/>
      <c r="R23" s="6"/>
      <c r="S23" s="6"/>
      <c r="T23" s="6"/>
    </row>
    <row r="24" spans="1:29" x14ac:dyDescent="0.25">
      <c r="A24" s="10" t="s">
        <v>12</v>
      </c>
      <c r="B24" s="2"/>
      <c r="C24" s="2"/>
      <c r="D24" s="2"/>
      <c r="E24" s="2"/>
      <c r="F24" s="2"/>
      <c r="G24" s="2"/>
      <c r="H24" s="2"/>
      <c r="I24" s="2"/>
      <c r="J24" s="6"/>
      <c r="M24" s="6"/>
      <c r="N24" s="6"/>
      <c r="O24" s="6"/>
      <c r="P24" s="6"/>
      <c r="Q24" s="6"/>
      <c r="R24" s="6"/>
      <c r="S24" s="6"/>
      <c r="T24" s="6"/>
    </row>
    <row r="25" spans="1:29" x14ac:dyDescent="0.25">
      <c r="A25" s="2"/>
      <c r="B25" s="2"/>
      <c r="C25" s="3">
        <v>2007</v>
      </c>
      <c r="D25" s="3">
        <v>2008</v>
      </c>
      <c r="E25" s="3">
        <v>2009</v>
      </c>
      <c r="F25" s="3">
        <v>2010</v>
      </c>
      <c r="G25" s="3">
        <v>2011</v>
      </c>
      <c r="H25" s="3">
        <v>2012</v>
      </c>
      <c r="I25" s="3">
        <v>2013</v>
      </c>
      <c r="J25" s="12">
        <v>2014</v>
      </c>
      <c r="K25" s="3">
        <v>2015</v>
      </c>
      <c r="L25" s="3">
        <v>2016</v>
      </c>
      <c r="M25" s="12">
        <v>2017</v>
      </c>
      <c r="N25" s="3">
        <v>2018</v>
      </c>
      <c r="O25" s="3">
        <v>2019</v>
      </c>
      <c r="P25" s="3">
        <v>2020</v>
      </c>
      <c r="Q25" s="3">
        <v>2021</v>
      </c>
      <c r="R25" s="3">
        <v>2022</v>
      </c>
      <c r="S25" s="3">
        <v>2023</v>
      </c>
      <c r="T25" s="3">
        <v>2024</v>
      </c>
      <c r="U25" s="3"/>
    </row>
    <row r="26" spans="1:29" x14ac:dyDescent="0.25">
      <c r="A26" s="2"/>
      <c r="B26" s="4" t="s">
        <v>2</v>
      </c>
      <c r="C26" s="6">
        <f>33970+372073+10973+48974+22618+2354+11618+2408+52889+5739+13771+670693+49498+40114+38452+6848+1279+4732+43901+63270+8067+6914+19818+4140+23931+689+3079+16106+38439+2344+26367+0+0+0+23743+1609+0+0</f>
        <v>1671420</v>
      </c>
      <c r="D26" s="6">
        <f>34354+375836+11371+49210+23017+2357+12680+2429+53157+5750+13926+701345+51136+40239+38702+7108+1328+4792+46560+65552+8099+6932+20765+4167+24114+697+3113+16330+39598+2368+26837+0+682+180+285+74+14+169</f>
        <v>1695273</v>
      </c>
      <c r="E26" s="6">
        <f>36533+379104+11555+49375+23280+2362+13077+2437+53339+5767+13961+723456+51427+40303+38801+7252+1359+4832+48710+66181+8090+6961+21388+4198+24235+730+3141+16471+40421+2388+27189+0+0+0+25006+1626+0+0</f>
        <v>1754955</v>
      </c>
      <c r="F26" s="6">
        <f>33465+383715+11689+49993+23589+2385+13600+2473+53950+5828+14082+746433+51869+40855+39147+7403+1377+4901+49677+66897+8196+7033+21770+4242+24494+739+3167+16670+41396+2416+27811+0+0+0+25480+1695+0+0</f>
        <v>1788437</v>
      </c>
      <c r="G26" s="2">
        <f>55381+373128+11177+47968+21681+2444+13108+2307+52356+6237+12615+756803+47309+43301+38123+6905+1335+4680+57554+64676+7965+7583+20223+4785+23991+696+2524+16455+40461+2444+27134+0+0+0+23287+0+0</f>
        <v>1796636</v>
      </c>
      <c r="H26" s="2">
        <v>1826293</v>
      </c>
      <c r="I26" s="11">
        <v>1857426</v>
      </c>
      <c r="J26" s="6">
        <v>1897632</v>
      </c>
      <c r="K26" s="8">
        <v>1929893</v>
      </c>
      <c r="L26" s="8">
        <v>1957085</v>
      </c>
      <c r="M26" s="6">
        <v>2005933</v>
      </c>
      <c r="N26" s="6">
        <v>2027460</v>
      </c>
      <c r="O26" s="6">
        <v>2050205</v>
      </c>
      <c r="P26" s="6">
        <v>2071940</v>
      </c>
      <c r="Q26" s="6">
        <v>2076694</v>
      </c>
      <c r="R26" s="6">
        <v>2095201</v>
      </c>
      <c r="S26" s="6">
        <v>2121472</v>
      </c>
      <c r="T26" s="6">
        <v>2173767</v>
      </c>
      <c r="U26" s="8"/>
      <c r="Y26" s="7"/>
      <c r="Z26" s="7"/>
      <c r="AA26" s="7"/>
      <c r="AB26" s="7"/>
      <c r="AC26" s="7"/>
    </row>
    <row r="27" spans="1:29" x14ac:dyDescent="0.25">
      <c r="A27" s="2"/>
      <c r="B27" s="4" t="s">
        <v>3</v>
      </c>
      <c r="C27" s="6">
        <f>1354+23667+500+1985+550+63+262+44+1844+189+711+41104+1603+2323+2319+372+23+559+1136+2517+388+193+518+128+605+12+133+617+534+175+551+356+599+165+280+39+29+139</f>
        <v>88586</v>
      </c>
      <c r="D27" s="6">
        <f>1428+22411+539+2031+444+74+284+71+1985+208+548+39835+1856+2093+2380+331+31+370+1139+2469+289+214+623+181+636+18+113+495+549+147+646+342+682+180+285+74+14+169</f>
        <v>86184</v>
      </c>
      <c r="E27" s="6">
        <f>1202+22846+487+1959+521+60+341+72+1992+205+679+40038+1791+2052+2529+280+17+488+1275+2208+369+158+649+159+689+23+113+700+531+146+525+275+519+203+283+47+26+120</f>
        <v>86577</v>
      </c>
      <c r="F27" s="6">
        <f>1350+21275+401+1982+485+53+319+50+2149+241+643+39289+1717+1998+2292+255+26+637+1070+2338+344+225+620+123+610+13+122+735+524+144+557+274+408+217+305+25+19+165</f>
        <v>84000</v>
      </c>
      <c r="G27" s="6">
        <f>1380+19082+409+1691+550+51+273+28+1879+260+686+39577+1580+1832+2082+263+23+613+1017+2075+310+212+531+157+758+22+99+609+525+140+470+268+541+170+200+14+145</f>
        <v>80522</v>
      </c>
      <c r="H27" s="6">
        <f>H29+H31</f>
        <v>72602</v>
      </c>
      <c r="I27" s="11">
        <v>75525</v>
      </c>
      <c r="J27" s="6">
        <v>70052</v>
      </c>
      <c r="K27" s="8">
        <v>66984</v>
      </c>
      <c r="L27" s="8">
        <v>63658</v>
      </c>
      <c r="M27" s="6">
        <v>64219</v>
      </c>
      <c r="N27" s="6">
        <v>59637</v>
      </c>
      <c r="O27" s="6">
        <v>57987</v>
      </c>
      <c r="P27" s="6">
        <v>58574</v>
      </c>
      <c r="Q27" s="6">
        <v>58320</v>
      </c>
      <c r="R27" s="6">
        <v>58024</v>
      </c>
      <c r="S27" s="6">
        <v>59046</v>
      </c>
      <c r="T27" s="6">
        <v>58019</v>
      </c>
      <c r="U27" s="8"/>
      <c r="Y27" s="9"/>
      <c r="Z27" s="9"/>
      <c r="AA27" s="9"/>
      <c r="AB27" s="9"/>
      <c r="AC27" s="9"/>
    </row>
    <row r="28" spans="1:29" x14ac:dyDescent="0.25">
      <c r="A28" s="2"/>
      <c r="B28" s="4" t="s">
        <v>4</v>
      </c>
      <c r="C28" s="6">
        <f t="shared" ref="C28:H28" si="6">100000*(C27/C26)</f>
        <v>5300.0442737313188</v>
      </c>
      <c r="D28" s="6">
        <f t="shared" si="6"/>
        <v>5083.7829659293811</v>
      </c>
      <c r="E28" s="6">
        <f t="shared" si="6"/>
        <v>4933.2888877492587</v>
      </c>
      <c r="F28" s="6">
        <f t="shared" si="6"/>
        <v>4696.8386361946214</v>
      </c>
      <c r="G28" s="6">
        <f t="shared" si="6"/>
        <v>4481.8204689208051</v>
      </c>
      <c r="H28" s="6">
        <f t="shared" si="6"/>
        <v>3975.3752546825726</v>
      </c>
      <c r="I28" s="11">
        <v>4066.1</v>
      </c>
      <c r="J28" s="6">
        <v>3691.5482032343466</v>
      </c>
      <c r="K28" s="8">
        <v>3470.9</v>
      </c>
      <c r="L28" s="8">
        <v>3252.7</v>
      </c>
      <c r="M28" s="6">
        <f t="shared" ref="M28:N28" si="7">((M27/M26)*100000)</f>
        <v>3201.4528900018095</v>
      </c>
      <c r="N28" s="6">
        <f t="shared" si="7"/>
        <v>2941.4637033529639</v>
      </c>
      <c r="O28" s="6">
        <f>((O27/O26)*100000)</f>
        <v>2828.3513112103424</v>
      </c>
      <c r="P28" s="6">
        <f>((P27/P26)*100000)</f>
        <v>2827.0123652229313</v>
      </c>
      <c r="Q28" s="6">
        <v>2808.3097461638549</v>
      </c>
      <c r="R28" s="6">
        <v>2769.3763032759148</v>
      </c>
      <c r="S28" s="6">
        <v>2783.256154217449</v>
      </c>
      <c r="T28" s="6">
        <v>2669.0533070011643</v>
      </c>
      <c r="U28" s="8"/>
    </row>
    <row r="29" spans="1:29" x14ac:dyDescent="0.25">
      <c r="A29" s="2"/>
      <c r="B29" s="4" t="s">
        <v>5</v>
      </c>
      <c r="C29" s="6"/>
      <c r="D29" s="6"/>
      <c r="E29" s="6"/>
      <c r="F29" s="6"/>
      <c r="G29" s="6"/>
      <c r="H29" s="6">
        <f>0+0+0+0+0+0+1+0+0+1+1+3+0+2+0+0+0+1+1+8+0+6+5+2+1+0+5+4+0+1+2+3+0+2+4+9+0+0+16+14+0+0+1+4+0+0+0+0+0+6+11+27+0+1+0+4+0+3+8+24+0+0+2+5+0+0+4+7+1+18+23+128+2+23+22+27+0+0+7+14+0+0+0+1+0+1+6+10+0+12+33+172+0+7+27+72+1+13+13+44+44+391+1280+2809+2+3+20+39+0+2+12+20+0+10+38+47+0+0+0+0+0+5+4+8+0+0+0+0+1+3+9+18+2+10+29+104+0+2+4+19+17+135+532+1225+1+16+12+96</f>
        <v>7845</v>
      </c>
      <c r="I29" s="11">
        <f>83+630+2175+4736</f>
        <v>7624</v>
      </c>
      <c r="J29" s="6">
        <v>7647</v>
      </c>
      <c r="K29" s="8">
        <f>(73+961+1797+4733)</f>
        <v>7564</v>
      </c>
      <c r="L29" s="8">
        <f>(112+1064+2095+4703)</f>
        <v>7974</v>
      </c>
      <c r="M29" s="6">
        <v>8284</v>
      </c>
      <c r="N29" s="6">
        <v>7583</v>
      </c>
      <c r="O29" s="6">
        <v>7455</v>
      </c>
      <c r="P29" s="6">
        <v>8713</v>
      </c>
      <c r="Q29" s="6">
        <v>9150</v>
      </c>
      <c r="R29" s="6">
        <v>8559</v>
      </c>
      <c r="S29" s="6">
        <v>8291</v>
      </c>
      <c r="T29" s="6">
        <v>7963</v>
      </c>
      <c r="U29" s="8"/>
      <c r="Y29" s="8"/>
      <c r="Z29" s="8"/>
      <c r="AA29" s="8"/>
      <c r="AB29" s="8"/>
      <c r="AC29" s="8"/>
    </row>
    <row r="30" spans="1:29" x14ac:dyDescent="0.25">
      <c r="A30" s="2"/>
      <c r="B30" s="4" t="s">
        <v>6</v>
      </c>
      <c r="C30" s="6"/>
      <c r="D30" s="6"/>
      <c r="E30" s="6"/>
      <c r="F30" s="6"/>
      <c r="G30" s="6"/>
      <c r="H30" s="6">
        <f>100000*(H29/H26)</f>
        <v>429.55867432005709</v>
      </c>
      <c r="I30" s="11">
        <f>100000*(I29/I26)</f>
        <v>410.46049748415282</v>
      </c>
      <c r="J30" s="6">
        <v>402.97591946172912</v>
      </c>
      <c r="K30" s="8">
        <f>100000*(K29/K26)</f>
        <v>391.93882769666504</v>
      </c>
      <c r="L30" s="8">
        <f>100000*(L29/L26)</f>
        <v>407.44270177330066</v>
      </c>
      <c r="M30" s="6">
        <f>(100000)*(M29)/M26</f>
        <v>412.97490992969358</v>
      </c>
      <c r="N30" s="6">
        <f t="shared" ref="N30:P30" si="8">(100000)*(N29)/N26</f>
        <v>374.01477711027593</v>
      </c>
      <c r="O30" s="6">
        <f t="shared" si="8"/>
        <v>363.62217436792906</v>
      </c>
      <c r="P30" s="6">
        <f t="shared" si="8"/>
        <v>420.52376034055038</v>
      </c>
      <c r="Q30" s="6">
        <v>440.60415256171586</v>
      </c>
      <c r="R30" s="6">
        <v>408.50495966735411</v>
      </c>
      <c r="S30" s="6">
        <v>390.81354832870761</v>
      </c>
      <c r="T30" s="6">
        <v>366.32260955290974</v>
      </c>
      <c r="U30" s="8"/>
    </row>
    <row r="31" spans="1:29" x14ac:dyDescent="0.25">
      <c r="A31" s="2"/>
      <c r="B31" s="4" t="s">
        <v>7</v>
      </c>
      <c r="C31" s="6"/>
      <c r="D31" s="6"/>
      <c r="E31" s="6"/>
      <c r="F31" s="6"/>
      <c r="G31" s="6"/>
      <c r="H31" s="6">
        <f>411+746+89+3543+10616+950+90+279+15+286+979+80+78+343+19+3+21+0+49+237+11+3+16+0+324+1123+141+63+119+14+156+311+40+8442+21537+2420+446+878+127+266+1581+52+67+140+15+5+12+0+140+430+18+169+700+47+301+1194+75+58+173+24+45+101+4+80+399+31+59+43+14+110+385+23+4+5+0+27+45+1+123+277+34+72+303+13+15+112+9+73+409+3+31+283+9+10+583+29+16+169+2+32+146+3+0+10+0+3+136+4</f>
        <v>64757</v>
      </c>
      <c r="I31" s="11">
        <f>14906+48697+4298</f>
        <v>67901</v>
      </c>
      <c r="J31" s="6">
        <v>62405</v>
      </c>
      <c r="K31" s="8">
        <f>(10858+44476+4086)</f>
        <v>59420</v>
      </c>
      <c r="L31" s="8">
        <f>SUM(9901+41368+4415)</f>
        <v>55684</v>
      </c>
      <c r="M31" s="6">
        <v>55935</v>
      </c>
      <c r="N31" s="6">
        <v>52054</v>
      </c>
      <c r="O31" s="6">
        <v>50532</v>
      </c>
      <c r="P31" s="6">
        <v>49861</v>
      </c>
      <c r="Q31" s="6">
        <v>49170</v>
      </c>
      <c r="R31" s="6">
        <v>49465</v>
      </c>
      <c r="S31" s="6">
        <v>50755</v>
      </c>
      <c r="T31" s="6">
        <v>50056</v>
      </c>
      <c r="U31" s="8"/>
    </row>
    <row r="32" spans="1:29" x14ac:dyDescent="0.25">
      <c r="A32" s="2"/>
      <c r="B32" s="4" t="s">
        <v>8</v>
      </c>
      <c r="C32" s="6"/>
      <c r="D32" s="6"/>
      <c r="E32" s="6"/>
      <c r="F32" s="6"/>
      <c r="G32" s="6"/>
      <c r="H32" s="6">
        <f>100000*(H31/H26)</f>
        <v>3545.8165803625161</v>
      </c>
      <c r="I32" s="11">
        <f>100000*(I31/I26)</f>
        <v>3655.6503462318283</v>
      </c>
      <c r="J32" s="6">
        <v>3288.5722837726175</v>
      </c>
      <c r="K32" s="8">
        <f>100000*(K31/K26)</f>
        <v>3078.9271736826859</v>
      </c>
      <c r="L32" s="8">
        <f>100000*(L31/L26)</f>
        <v>2845.2519946757552</v>
      </c>
      <c r="M32" s="6">
        <f>(100000)*(M31/M26)</f>
        <v>2788.4779800721162</v>
      </c>
      <c r="N32" s="6">
        <f t="shared" ref="N32:P32" si="9">(100000)*(N31/N26)</f>
        <v>2567.4489262426882</v>
      </c>
      <c r="O32" s="6">
        <f t="shared" si="9"/>
        <v>2464.7291368424135</v>
      </c>
      <c r="P32" s="6">
        <f t="shared" si="9"/>
        <v>2406.4886048823805</v>
      </c>
      <c r="Q32" s="6">
        <v>2367.7055936021388</v>
      </c>
      <c r="R32" s="6">
        <v>2360.8713436085609</v>
      </c>
      <c r="S32" s="6">
        <v>2392.4426058887416</v>
      </c>
      <c r="T32" s="6">
        <v>2302.7306974482544</v>
      </c>
      <c r="U32" s="8"/>
    </row>
    <row r="33" spans="1:2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6"/>
      <c r="M33" s="6"/>
      <c r="N33" s="6"/>
      <c r="O33" s="6"/>
      <c r="P33" s="6"/>
      <c r="Q33" s="6"/>
      <c r="R33" s="6"/>
      <c r="S33" s="6"/>
      <c r="T33" s="6"/>
    </row>
    <row r="34" spans="1:21" x14ac:dyDescent="0.25">
      <c r="A34" s="10" t="s">
        <v>13</v>
      </c>
      <c r="B34" s="2"/>
      <c r="C34" s="2"/>
      <c r="D34" s="2"/>
      <c r="E34" s="2"/>
      <c r="F34" s="2"/>
      <c r="G34" s="2"/>
      <c r="H34" s="2"/>
      <c r="I34" s="2"/>
      <c r="J34" s="6"/>
      <c r="M34" s="6"/>
      <c r="N34" s="6"/>
      <c r="O34" s="6"/>
      <c r="P34" s="6"/>
      <c r="Q34" s="6"/>
      <c r="R34" s="6"/>
      <c r="S34" s="6"/>
      <c r="T34" s="6"/>
    </row>
    <row r="35" spans="1:21" x14ac:dyDescent="0.25">
      <c r="A35" s="2"/>
      <c r="B35" s="2"/>
      <c r="C35" s="3">
        <v>2007</v>
      </c>
      <c r="D35" s="3">
        <v>2008</v>
      </c>
      <c r="E35" s="3">
        <v>2009</v>
      </c>
      <c r="F35" s="3">
        <v>2010</v>
      </c>
      <c r="G35" s="3">
        <v>2011</v>
      </c>
      <c r="H35" s="3">
        <v>2012</v>
      </c>
      <c r="I35" s="3">
        <v>2013</v>
      </c>
      <c r="J35" s="12">
        <v>2014</v>
      </c>
      <c r="K35" s="3">
        <v>2015</v>
      </c>
      <c r="L35" s="3">
        <v>2016</v>
      </c>
      <c r="M35" s="12">
        <v>2017</v>
      </c>
      <c r="N35" s="3">
        <v>2018</v>
      </c>
      <c r="O35" s="3">
        <v>2019</v>
      </c>
      <c r="P35" s="3">
        <v>2020</v>
      </c>
      <c r="Q35" s="3">
        <v>2021</v>
      </c>
      <c r="R35" s="3">
        <v>2022</v>
      </c>
      <c r="S35" s="3">
        <v>2023</v>
      </c>
      <c r="T35" s="3">
        <v>2024</v>
      </c>
      <c r="U35" s="3"/>
    </row>
    <row r="36" spans="1:21" x14ac:dyDescent="0.25">
      <c r="A36" s="2"/>
      <c r="B36" s="4" t="s">
        <v>2</v>
      </c>
      <c r="C36" s="6">
        <f>145922+7087+2969+4148+14323+1083+3276+8560+9876+2298+3138+5136+18238+5156+12117+0+0+0+0+3219+1832+6826+0+0+0+0+6082+1316882</f>
        <v>1578168</v>
      </c>
      <c r="D36" s="6">
        <f>148157+1351244+7454+2971+4175+16057+1109+3306+8568+10152+2304+3255+5197+18430+5259+12958+0+0+0+0+4881+1862+7033+0+0+0+0+6341</f>
        <v>1620713</v>
      </c>
      <c r="E36" s="6">
        <f>150280+1373936+7378+2981+4206+18353+1124+3345+8599+10390+2309+3332+5266+18821+5386+13677+0+0+0+0+5626+1874+8176+0+0+0+0+6565</f>
        <v>1651624</v>
      </c>
      <c r="F36" s="6">
        <f>150506+1392198+7488+2997+4227+18890+1140+3335+8669+11181+2338+3372+5298+18511+5463+15079+0+0+0+0+6049+1896+8265+0+0+0+0+6595</f>
        <v>1673497</v>
      </c>
      <c r="G36" s="6">
        <f>(272849+1355339+7179+3003+4203+18581+1006+3126+8168+10365+2284+3099+4981+18920+5477+13407+0+0+0+5657+1665+7495+0+0+0+0+6112+0)</f>
        <v>1752916</v>
      </c>
      <c r="H36" s="6">
        <v>1784585</v>
      </c>
      <c r="I36" s="11">
        <v>1816827</v>
      </c>
      <c r="J36" s="6">
        <v>1857948</v>
      </c>
      <c r="K36" s="8">
        <v>1897498</v>
      </c>
      <c r="L36" s="8">
        <v>1932033</v>
      </c>
      <c r="M36" s="6">
        <v>1966517</v>
      </c>
      <c r="N36" s="6">
        <v>1992664</v>
      </c>
      <c r="O36" s="6">
        <v>2010637</v>
      </c>
      <c r="P36" s="6">
        <v>2034193</v>
      </c>
      <c r="Q36" s="6">
        <v>2043748</v>
      </c>
      <c r="R36" s="6">
        <v>2056933</v>
      </c>
      <c r="S36" s="6">
        <v>2088082</v>
      </c>
      <c r="T36" s="6">
        <v>2137762</v>
      </c>
      <c r="U36" s="8"/>
    </row>
    <row r="37" spans="1:21" x14ac:dyDescent="0.25">
      <c r="A37" s="2"/>
      <c r="B37" s="4" t="s">
        <v>3</v>
      </c>
      <c r="C37" s="6">
        <f>7279+329+756+339+397+54+93+184+714+62+74+130+466+334+638+73+195+10+323+311+26+131+93+29+6+330+46+91470</f>
        <v>104892</v>
      </c>
      <c r="D37" s="6">
        <f>7953+107263+309+575+350+484+79+137+184+866+89+74+107+482+433+632+88+195+39+383+301+47+115+160+71+0+298+35</f>
        <v>121749</v>
      </c>
      <c r="E37" s="6">
        <f>7563+99495+276+492+319+500+43+107+177+806+95+60+121+521+410+658+98+205+58+467+229+56+71+121+59+7+352+56</f>
        <v>113422</v>
      </c>
      <c r="F37" s="6">
        <f>7545+96787+239+572+323+427+32+117+187+895+73+44+99+545+370+611+87+188+27+417+267+61+95+80+77+2+429+43</f>
        <v>110639</v>
      </c>
      <c r="G37" s="6">
        <f>7164+87906+225+567+310+489+34+71+276+911+61+54+57+512+347+705+74+182+9+395+275+30+81+75+68+1+451+25+18</f>
        <v>101373</v>
      </c>
      <c r="H37" s="6">
        <v>103220</v>
      </c>
      <c r="I37" s="11">
        <v>101005</v>
      </c>
      <c r="J37" s="6">
        <v>97059</v>
      </c>
      <c r="K37" s="8">
        <v>94344</v>
      </c>
      <c r="L37" s="8">
        <v>101917</v>
      </c>
      <c r="M37" s="6">
        <v>96753</v>
      </c>
      <c r="N37" s="6">
        <v>81689</v>
      </c>
      <c r="O37" s="6">
        <v>89207</v>
      </c>
      <c r="P37" s="6">
        <v>76542</v>
      </c>
      <c r="Q37" s="6">
        <v>82308</v>
      </c>
      <c r="R37" s="6">
        <v>99771</v>
      </c>
      <c r="S37" s="6">
        <v>105737</v>
      </c>
      <c r="T37" s="6">
        <v>92060</v>
      </c>
      <c r="U37" s="8"/>
    </row>
    <row r="38" spans="1:21" x14ac:dyDescent="0.25">
      <c r="A38" s="2"/>
      <c r="B38" s="4" t="s">
        <v>4</v>
      </c>
      <c r="C38" s="6">
        <f>100000*(C37/C36)</f>
        <v>6646.4406831211882</v>
      </c>
      <c r="D38" s="6">
        <f>100000*(D37/D36)</f>
        <v>7512.0641347357614</v>
      </c>
      <c r="E38" s="6">
        <f>100000*(E37/E36)</f>
        <v>6867.3015165679353</v>
      </c>
      <c r="F38" s="6">
        <f>100000*(F37/F36)</f>
        <v>6611.245792493205</v>
      </c>
      <c r="G38" s="6">
        <f>100000*(G37/G36)</f>
        <v>5783.1065493155411</v>
      </c>
      <c r="H38" s="6">
        <v>5784</v>
      </c>
      <c r="I38" s="11">
        <v>5559.4</v>
      </c>
      <c r="J38" s="6">
        <v>5223.989045979758</v>
      </c>
      <c r="K38" s="8">
        <v>4972</v>
      </c>
      <c r="L38" s="8">
        <v>5275.1</v>
      </c>
      <c r="M38" s="6">
        <v>4920</v>
      </c>
      <c r="N38" s="6">
        <f t="shared" ref="N38" si="10">((N37/N36)*100000)</f>
        <v>4099.48691801528</v>
      </c>
      <c r="O38" s="6">
        <f>((O37/O36)*100000)</f>
        <v>4436.7531284861461</v>
      </c>
      <c r="P38" s="6">
        <f>((P37/P36)*100000)</f>
        <v>3762.769806011524</v>
      </c>
      <c r="Q38" s="6">
        <v>4027.3066933888131</v>
      </c>
      <c r="R38" s="6">
        <v>4850.4739823805639</v>
      </c>
      <c r="S38" s="6">
        <v>5063.8337000175279</v>
      </c>
      <c r="T38" s="6">
        <v>4306.3727393414238</v>
      </c>
      <c r="U38" s="8"/>
    </row>
    <row r="39" spans="1:21" x14ac:dyDescent="0.25">
      <c r="A39" s="2"/>
      <c r="B39" s="4" t="s">
        <v>5</v>
      </c>
      <c r="C39" s="6"/>
      <c r="D39" s="6"/>
      <c r="E39" s="6"/>
      <c r="F39" s="6"/>
      <c r="G39" s="6"/>
      <c r="H39" s="6">
        <f>10+70+99+308+89+549+1864+4441+0+6+4+4+0+0+17+10+0+0+3+0+0+9+11+51+0+1+1+0+0+0+1+0+0+0+4+21+0+1+9+18+0+0+0+0+0+0+0+0+0+0+0+8+0+1+13+56+1+0+3+2+0+1+6+20+0+0+0+0+0+1+0+1+0+0+0+0+0+0+1+1+0+4+2+7+0+0+0+2+1+1+1+1+0+2+0+0+0+0+0+2+0+0+0+1+0+5+0+92+0+0+0+1+0+0+0+0</f>
        <v>7838</v>
      </c>
      <c r="I39" s="11">
        <f>97+761+2340+6463</f>
        <v>9661</v>
      </c>
      <c r="J39" s="6">
        <v>8433</v>
      </c>
      <c r="K39" s="8">
        <f>(112+1214+2159+6009)</f>
        <v>9494</v>
      </c>
      <c r="L39" s="8">
        <f>(173+1369+2445+7758)</f>
        <v>11745</v>
      </c>
      <c r="M39" s="6">
        <v>11915</v>
      </c>
      <c r="N39" s="6">
        <v>10780</v>
      </c>
      <c r="O39" s="6">
        <v>12190</v>
      </c>
      <c r="P39" s="6">
        <v>12444</v>
      </c>
      <c r="Q39" s="6">
        <v>12239</v>
      </c>
      <c r="R39" s="6">
        <v>14415</v>
      </c>
      <c r="S39" s="6">
        <v>11949</v>
      </c>
      <c r="T39" s="6">
        <v>10595</v>
      </c>
      <c r="U39" s="8"/>
    </row>
    <row r="40" spans="1:21" x14ac:dyDescent="0.25">
      <c r="A40" s="2"/>
      <c r="B40" s="4" t="s">
        <v>6</v>
      </c>
      <c r="C40" s="6"/>
      <c r="D40" s="6"/>
      <c r="E40" s="6"/>
      <c r="F40" s="6"/>
      <c r="G40" s="6"/>
      <c r="H40" s="6">
        <f>100000*(H39/H36)</f>
        <v>439.20575371865169</v>
      </c>
      <c r="I40" s="11">
        <f>100000*(I39/I36)</f>
        <v>531.75123443233724</v>
      </c>
      <c r="J40" s="6">
        <v>453.88783754981301</v>
      </c>
      <c r="K40" s="8">
        <f>100000*(K39/K36)</f>
        <v>500.34308336556876</v>
      </c>
      <c r="L40" s="8">
        <f>100000*(L39/L36)</f>
        <v>607.90887112176654</v>
      </c>
      <c r="M40" s="6">
        <f>(100000)*(M39)/M36</f>
        <v>605.89356715451731</v>
      </c>
      <c r="N40" s="6">
        <f t="shared" ref="N40:P40" si="11">(100000)*(N39)/N36</f>
        <v>540.98433052436337</v>
      </c>
      <c r="O40" s="6">
        <f t="shared" si="11"/>
        <v>606.27552362758672</v>
      </c>
      <c r="P40" s="6">
        <f t="shared" si="11"/>
        <v>611.74136377423383</v>
      </c>
      <c r="Q40" s="6">
        <v>598.85073893650292</v>
      </c>
      <c r="R40" s="6">
        <v>700.80065806713196</v>
      </c>
      <c r="S40" s="6">
        <v>572.24764161560699</v>
      </c>
      <c r="T40" s="6">
        <v>495.61176594962393</v>
      </c>
      <c r="U40" s="8"/>
    </row>
    <row r="41" spans="1:21" x14ac:dyDescent="0.25">
      <c r="A41" s="2"/>
      <c r="B41" s="4" t="s">
        <v>7</v>
      </c>
      <c r="C41" s="6"/>
      <c r="D41" s="6"/>
      <c r="E41" s="6"/>
      <c r="F41" s="6"/>
      <c r="G41" s="6"/>
      <c r="H41" s="6">
        <f>2081+3865+452+15668+60633+6367+34+198+8+54+487+37+30+271+10+97+402+25+7+41+4+26+123+7+65+110+28+94+664+52+18+86+0+19+72+3+66+27+0+90+326+42+38+332+22+77+568+41+1+101+1+5+167+1+0+8+0+19+314+30+28+207+18+11+24+1+15+104+3+10+46+2+6+49+5+0+0+0+7+365+0+30+13+1+0+23+0</f>
        <v>95382</v>
      </c>
      <c r="I41" s="11">
        <f>17355+66728+7261</f>
        <v>91344</v>
      </c>
      <c r="J41" s="6">
        <v>88626</v>
      </c>
      <c r="K41" s="8">
        <f>(13694+64295+6861)</f>
        <v>84850</v>
      </c>
      <c r="L41" s="8">
        <f>(14339+67692+8141+101917)</f>
        <v>192089</v>
      </c>
      <c r="M41" s="6">
        <v>84838</v>
      </c>
      <c r="N41" s="6">
        <v>70909</v>
      </c>
      <c r="O41" s="6">
        <v>77017</v>
      </c>
      <c r="P41" s="6">
        <v>64098</v>
      </c>
      <c r="Q41" s="6">
        <v>70069</v>
      </c>
      <c r="R41" s="6">
        <v>85356</v>
      </c>
      <c r="S41" s="6">
        <v>93788</v>
      </c>
      <c r="T41" s="6">
        <v>81465</v>
      </c>
      <c r="U41" s="8"/>
    </row>
    <row r="42" spans="1:21" x14ac:dyDescent="0.25">
      <c r="A42" s="2"/>
      <c r="B42" s="4" t="s">
        <v>8</v>
      </c>
      <c r="C42" s="6"/>
      <c r="D42" s="6"/>
      <c r="E42" s="6"/>
      <c r="F42" s="6"/>
      <c r="G42" s="6"/>
      <c r="H42" s="6">
        <f>100000*(H41/H36)</f>
        <v>5344.7720338341969</v>
      </c>
      <c r="I42" s="11">
        <f>100000*(I41/I36)</f>
        <v>5027.6663655923212</v>
      </c>
      <c r="J42" s="6">
        <v>4770.1012084299455</v>
      </c>
      <c r="K42" s="8">
        <f>100000*(K41/K36)</f>
        <v>4471.6779675130092</v>
      </c>
      <c r="L42" s="8">
        <f>100000*(L41/L36)</f>
        <v>9942.325001695106</v>
      </c>
      <c r="M42" s="6">
        <f>(100000)*(M41/M36)</f>
        <v>4314.1249223881614</v>
      </c>
      <c r="N42" s="6">
        <f t="shared" ref="N42:P42" si="12">(100000)*(N41/N36)</f>
        <v>3558.5025874909165</v>
      </c>
      <c r="O42" s="6">
        <f t="shared" si="12"/>
        <v>3830.47760485856</v>
      </c>
      <c r="P42" s="6">
        <f t="shared" si="12"/>
        <v>3151.0284422372902</v>
      </c>
      <c r="Q42" s="6">
        <v>3428.4559544523099</v>
      </c>
      <c r="R42" s="6">
        <v>4149.6733243134322</v>
      </c>
      <c r="S42" s="6">
        <v>4491.586058401921</v>
      </c>
      <c r="T42" s="6">
        <v>3810.7609733917998</v>
      </c>
      <c r="U42" s="8"/>
    </row>
    <row r="43" spans="1:2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6"/>
      <c r="M43" s="6"/>
      <c r="N43" s="6"/>
      <c r="O43" s="6"/>
      <c r="P43" s="6"/>
      <c r="Q43" s="6"/>
      <c r="R43" s="6"/>
      <c r="S43" s="6"/>
      <c r="T43" s="6"/>
    </row>
    <row r="44" spans="1:21" x14ac:dyDescent="0.25">
      <c r="A44" s="10" t="s">
        <v>14</v>
      </c>
      <c r="B44" s="2"/>
      <c r="C44" s="2"/>
      <c r="D44" s="2"/>
      <c r="E44" s="2"/>
      <c r="F44" s="2"/>
      <c r="G44" s="2"/>
      <c r="H44" s="2"/>
      <c r="I44" s="2"/>
      <c r="J44" s="6"/>
      <c r="M44" s="6"/>
      <c r="N44" s="6"/>
      <c r="O44" s="6"/>
      <c r="P44" s="6"/>
      <c r="Q44" s="6"/>
      <c r="R44" s="6"/>
      <c r="S44" s="6"/>
      <c r="T44" s="6"/>
    </row>
    <row r="45" spans="1:21" x14ac:dyDescent="0.25">
      <c r="A45" s="2"/>
      <c r="B45" s="2"/>
      <c r="C45" s="3">
        <v>2007</v>
      </c>
      <c r="D45" s="3">
        <v>2008</v>
      </c>
      <c r="E45" s="3">
        <v>2009</v>
      </c>
      <c r="F45" s="3">
        <v>2010</v>
      </c>
      <c r="G45" s="3">
        <v>2011</v>
      </c>
      <c r="H45" s="3">
        <v>2012</v>
      </c>
      <c r="I45" s="3">
        <v>2013</v>
      </c>
      <c r="J45" s="12">
        <v>2014</v>
      </c>
      <c r="K45" s="3">
        <v>2015</v>
      </c>
      <c r="L45" s="3">
        <v>2016</v>
      </c>
      <c r="M45" s="12">
        <v>2017</v>
      </c>
      <c r="N45" s="3">
        <v>2018</v>
      </c>
      <c r="O45" s="3">
        <v>2019</v>
      </c>
      <c r="P45" s="3">
        <v>2020</v>
      </c>
      <c r="Q45" s="3">
        <v>2021</v>
      </c>
      <c r="R45" s="3">
        <v>2022</v>
      </c>
      <c r="S45" s="3">
        <v>2023</v>
      </c>
      <c r="T45" s="3">
        <v>2024</v>
      </c>
      <c r="U45" s="3"/>
    </row>
    <row r="46" spans="1:21" x14ac:dyDescent="0.25">
      <c r="A46" s="2"/>
      <c r="B46" s="4" t="s">
        <v>2</v>
      </c>
      <c r="C46" s="6">
        <f>1372046+69040+17879+29971+10177+14977+9890+7176+34165+145235+11448+16348+1636+3717+10176+11714+10070+15249+13830+4040+0+0+0+0+0+2317+0+0+0+0+6477+0+0+0+0+0+0+2169544</f>
        <v>3987122</v>
      </c>
      <c r="D46" s="6">
        <f>1337796+2238895+70596+18316+30900+10243+15026+9949+7299+34552+147114+11760+16496+1669+3803+10412+11907+10196+15578+14106+4059+0+0+0+0+0+2354+0+0+0+0+6518+0+0+0+0+0+0</f>
        <v>4029544</v>
      </c>
      <c r="E46" s="6">
        <f>1353235+70764+18492+31164+10166+14934+9883+7324+34535+146963+11777+16410+1680+3910+10345+12024+10868+15736+14166+4026+0+0+0+0+0+2345+0+0+0+0+6477+0+0+0+0+0+0+2273771</f>
        <v>4080995</v>
      </c>
      <c r="F46" s="6">
        <f>1421236+2280859+71082+18378+31087+10086+14843+9797+7268+34304+145713+11663+16345+1664+3982+10272+12016+10754+15703+14070+3988+0+0+0+0+0+2348+0+0+0+0+0+6433+0+0+0+0+0+0+0</f>
        <v>4153891</v>
      </c>
      <c r="G46" s="6">
        <f>1596952+2143628+73313+17210+32684+11116+15451+10775+7780+34511+152179+12203+17340+1751+3793+10979+11359+10619+15098+14399+4086+0+0+0+0+0+2611+0+0+0+0+0+6382+0+0+0+0+0+0+0</f>
        <v>4206219</v>
      </c>
      <c r="H46" s="6">
        <v>4268885</v>
      </c>
      <c r="I46" s="11">
        <v>4349644</v>
      </c>
      <c r="J46" s="6">
        <v>4455105</v>
      </c>
      <c r="K46" s="8">
        <v>4566277</v>
      </c>
      <c r="L46" s="8">
        <v>4646498</v>
      </c>
      <c r="M46" s="6">
        <v>4702468</v>
      </c>
      <c r="N46" s="6">
        <v>4753437</v>
      </c>
      <c r="O46" s="6">
        <v>4776485</v>
      </c>
      <c r="P46" s="6">
        <v>4799254</v>
      </c>
      <c r="Q46" s="6">
        <v>4788935</v>
      </c>
      <c r="R46" s="6">
        <v>4788785</v>
      </c>
      <c r="S46" s="6">
        <v>4850683</v>
      </c>
      <c r="T46" s="6">
        <v>4961415</v>
      </c>
      <c r="U46" s="8"/>
    </row>
    <row r="47" spans="1:21" x14ac:dyDescent="0.25">
      <c r="A47" s="2"/>
      <c r="B47" s="4" t="s">
        <v>3</v>
      </c>
      <c r="C47" s="6">
        <f>55124+3422+344+940+319+1608+476+303+449+5649+283+780+17+110+483+231+904+210+739+119+301+469+248+203+6+202+90+18+181+14+74+475+95+144+188+145+105+147890</f>
        <v>223358</v>
      </c>
      <c r="D47" s="6">
        <f>55356+135538+3781+435+897+293+1843+358+243+773+5599+251+744+11+145+443+178+819+214+663+133+321+428+250+254+20+194+64+28+215+18+110+409+77+176+161+155+121</f>
        <v>211718</v>
      </c>
      <c r="E47" s="6">
        <f>63342+4331+398+916+316+2209+363+338+746+6316+256+868+9+103+479+106+843+199+698+131+334+473+369+243+20+159+87+51+215+25+92+332+79+166+162+119+133+146526</f>
        <v>232552</v>
      </c>
      <c r="F47" s="6">
        <f>63930+137814+4150+354+1043+300+2180+414+321+753+6162+250+921+4+127+467+115+766+191+650+115+307+474+312+254+14+220+64+385+39+36+31+95+305+24+122+163+215+115+172</f>
        <v>224374</v>
      </c>
      <c r="G47" s="6">
        <f>28582+129228+3767+358+875+260+1820+389+277+688+5832+208+881+18+118+495+126+764+166+610+121+356+590+269+181+26+175+64+357+36+37+41+83+351+29+148+139+278+112+160</f>
        <v>179015</v>
      </c>
      <c r="H47" s="6">
        <v>211037</v>
      </c>
      <c r="I47" s="11">
        <v>212013</v>
      </c>
      <c r="J47" s="6">
        <v>202719</v>
      </c>
      <c r="K47" s="8">
        <v>195529</v>
      </c>
      <c r="L47" s="8">
        <v>197691</v>
      </c>
      <c r="M47" s="6">
        <v>191423</v>
      </c>
      <c r="N47" s="6">
        <v>185606</v>
      </c>
      <c r="O47" s="6">
        <v>194475</v>
      </c>
      <c r="P47" s="6">
        <v>196508</v>
      </c>
      <c r="Q47" s="6">
        <v>194815</v>
      </c>
      <c r="R47" s="6">
        <v>209078</v>
      </c>
      <c r="S47" s="6">
        <v>208245</v>
      </c>
      <c r="T47" s="6">
        <v>202612</v>
      </c>
      <c r="U47" s="8"/>
    </row>
    <row r="48" spans="1:21" x14ac:dyDescent="0.25">
      <c r="A48" s="2"/>
      <c r="B48" s="4" t="s">
        <v>4</v>
      </c>
      <c r="C48" s="6">
        <f>100000*(C47/C46)</f>
        <v>5601.985592615425</v>
      </c>
      <c r="D48" s="6">
        <f>100000*(D47/D46)</f>
        <v>5254.1429005366363</v>
      </c>
      <c r="E48" s="6">
        <f>100000*(E47/E46)</f>
        <v>5698.4142347638262</v>
      </c>
      <c r="F48" s="6">
        <f>100000*(F47/F46)</f>
        <v>5401.5379796918114</v>
      </c>
      <c r="G48" s="6">
        <f>100000*(G47/G46)</f>
        <v>4255.9600439254355</v>
      </c>
      <c r="H48" s="6">
        <v>4943.6000000000004</v>
      </c>
      <c r="I48" s="11">
        <v>4874.3</v>
      </c>
      <c r="J48" s="6">
        <v>4550.2631251115299</v>
      </c>
      <c r="K48" s="8">
        <v>4282</v>
      </c>
      <c r="L48" s="8">
        <v>4254.6000000000004</v>
      </c>
      <c r="M48" s="6">
        <v>4070.7</v>
      </c>
      <c r="N48" s="6">
        <f t="shared" ref="N48" si="13">((N47/N46)*100000)</f>
        <v>3904.6694002676381</v>
      </c>
      <c r="O48" s="6">
        <f>((O47/O46)*100000)</f>
        <v>4071.5086512362122</v>
      </c>
      <c r="P48" s="6">
        <f>((P47/P46)*100000)</f>
        <v>4094.5530284498386</v>
      </c>
      <c r="Q48" s="6">
        <v>4068.0234749479791</v>
      </c>
      <c r="R48" s="6">
        <v>4365.9926265221766</v>
      </c>
      <c r="S48" s="6">
        <v>4293.1067645525382</v>
      </c>
      <c r="T48" s="6">
        <v>4083.7543321814442</v>
      </c>
      <c r="U48" s="8"/>
    </row>
    <row r="49" spans="1:27" x14ac:dyDescent="0.25">
      <c r="A49" s="2"/>
      <c r="B49" s="4" t="s">
        <v>5</v>
      </c>
      <c r="C49" s="6"/>
      <c r="D49" s="6"/>
      <c r="E49" s="6"/>
      <c r="F49" s="6"/>
      <c r="G49" s="6"/>
      <c r="H49" s="6">
        <f>77+295+2744+4300+217+665+9385+11343+5+15+97+130+0+2+15+6+0+13+14+19+0+9+2+9+1+25+51+29+0+1+15+13+0+0+11+15+1+25+8+27+8+52+147+415+0+0+5+3+1+9+30+50+0+0+1+0+0+1+0+5+0+10+5+21+0+0+2+1+0+10+21+12+0+0+11+2+0+1+8+21+0+2+1+3+0+1+3+1+0+1+12+2+0+3+10+8+0+3+5+2+0+0+0+0+0+0+6+1+0+0+2+0+0+0+6+14+0+0+4+0+0+0+0+2+0+0+0+0+0+1+2+11+0+3+2+3+0+0+0+0+0+0+3+0+0+4+1+9+0+1+3+0+0+0+2+1+0+3+1+10</f>
        <v>30588</v>
      </c>
      <c r="I49" s="11">
        <f>333+1058+13737+16048</f>
        <v>31176</v>
      </c>
      <c r="J49" s="6">
        <v>32307</v>
      </c>
      <c r="K49" s="8">
        <f>(404+1681+14293+16602)</f>
        <v>32980</v>
      </c>
      <c r="L49" s="8">
        <f>(409+2020+13656+18729)</f>
        <v>34814</v>
      </c>
      <c r="M49" s="6">
        <v>36511</v>
      </c>
      <c r="N49" s="6">
        <v>35213</v>
      </c>
      <c r="O49" s="6">
        <v>34716</v>
      </c>
      <c r="P49" s="6">
        <v>40288</v>
      </c>
      <c r="Q49" s="6">
        <v>39948</v>
      </c>
      <c r="R49" s="6">
        <v>37383</v>
      </c>
      <c r="S49" s="6">
        <v>37529</v>
      </c>
      <c r="T49" s="6">
        <v>38617</v>
      </c>
      <c r="U49" s="8"/>
    </row>
    <row r="50" spans="1:27" x14ac:dyDescent="0.25">
      <c r="A50" s="2"/>
      <c r="B50" s="4" t="s">
        <v>6</v>
      </c>
      <c r="C50" s="6"/>
      <c r="D50" s="6"/>
      <c r="E50" s="6"/>
      <c r="F50" s="6"/>
      <c r="G50" s="6"/>
      <c r="H50" s="6">
        <f>100000*(H49/H46)</f>
        <v>716.53370845080156</v>
      </c>
      <c r="I50" s="11">
        <f>100000*(I49/I46)</f>
        <v>716.74831319528676</v>
      </c>
      <c r="J50" s="6">
        <v>725.16809368129373</v>
      </c>
      <c r="K50" s="8">
        <f>100000*(K49/K46)</f>
        <v>722.25140962758064</v>
      </c>
      <c r="L50" s="8">
        <f>100000*(L49/L46)</f>
        <v>749.25244775742942</v>
      </c>
      <c r="M50" s="6">
        <f>(100000)*(M49)/M46</f>
        <v>776.42208304235135</v>
      </c>
      <c r="N50" s="6">
        <f t="shared" ref="N50:P50" si="14">(100000)*(N49)/N46</f>
        <v>740.79029552721533</v>
      </c>
      <c r="O50" s="6">
        <f t="shared" si="14"/>
        <v>726.81061491871117</v>
      </c>
      <c r="P50" s="6">
        <f t="shared" si="14"/>
        <v>839.46379999891644</v>
      </c>
      <c r="Q50" s="6">
        <v>834.17294241830382</v>
      </c>
      <c r="R50" s="6">
        <v>780.63642447927816</v>
      </c>
      <c r="S50" s="6">
        <v>773.68486046191845</v>
      </c>
      <c r="T50" s="6">
        <v>778.34649994003723</v>
      </c>
      <c r="U50" s="8"/>
    </row>
    <row r="51" spans="1:27" x14ac:dyDescent="0.25">
      <c r="A51" s="2"/>
      <c r="B51" s="4" t="s">
        <v>7</v>
      </c>
      <c r="C51" s="6"/>
      <c r="D51" s="6"/>
      <c r="E51" s="6"/>
      <c r="F51" s="6"/>
      <c r="G51" s="6"/>
      <c r="H51" s="6">
        <f>13848+32259+6444+26630+67978+13070+939+2438+307+56+261+15+117+720+37+84+147+34+135+1301+104+126+255+55+58+168+36+127+439+38+999+4087+524+41+150+16+222+488+138+5+9+0+16+105+7+84+380+21+16+75+3+77+553+39+127+73+9+67+563+35+23+89+7+23+247+6+58+419+19+44+204+4+2+187+0+0+14+0+15+161+13+0+78+0+17+316+15+0+27+5+2+34+0+15+6+0+14+51+7+6+368+3+1+33+1+11+108+3+4+128+2+12+176+8+28+99+4+3+172+2</f>
        <v>180449</v>
      </c>
      <c r="I51" s="11">
        <f>40564+119329+20944</f>
        <v>180837</v>
      </c>
      <c r="J51" s="6">
        <v>170412</v>
      </c>
      <c r="K51" s="8">
        <f>(32374+108379+21796)</f>
        <v>162549</v>
      </c>
      <c r="L51" s="8">
        <f>(30224+112162+20491)</f>
        <v>162877</v>
      </c>
      <c r="M51" s="6">
        <v>154912</v>
      </c>
      <c r="N51" s="6">
        <v>150393</v>
      </c>
      <c r="O51" s="6">
        <v>159759</v>
      </c>
      <c r="P51" s="6">
        <v>156220</v>
      </c>
      <c r="Q51" s="6">
        <v>154867</v>
      </c>
      <c r="R51" s="6">
        <v>171695</v>
      </c>
      <c r="S51" s="6">
        <v>170716</v>
      </c>
      <c r="T51" s="6">
        <v>163995</v>
      </c>
      <c r="U51" s="8"/>
      <c r="Y51" s="7"/>
      <c r="Z51" s="7"/>
      <c r="AA51" s="7"/>
    </row>
    <row r="52" spans="1:27" x14ac:dyDescent="0.25">
      <c r="A52" s="2"/>
      <c r="B52" s="4" t="s">
        <v>8</v>
      </c>
      <c r="C52" s="6"/>
      <c r="D52" s="6"/>
      <c r="E52" s="6"/>
      <c r="F52" s="6"/>
      <c r="G52" s="6"/>
      <c r="H52" s="6">
        <f>100000*(H51/H46)</f>
        <v>4227.0756883823296</v>
      </c>
      <c r="I52" s="11">
        <f>100000*(I51/I46)</f>
        <v>4157.5126608062637</v>
      </c>
      <c r="J52" s="6">
        <v>3825.0950314302358</v>
      </c>
      <c r="K52" s="8">
        <f>100000*(K51/K46)</f>
        <v>3559.7709030792485</v>
      </c>
      <c r="L52" s="8">
        <f>100000*(L51/L46)</f>
        <v>3505.371141879325</v>
      </c>
      <c r="M52" s="6">
        <f>(100000)*(M51/M46)</f>
        <v>3294.2701577129287</v>
      </c>
      <c r="N52" s="6">
        <f t="shared" ref="N52:P52" si="15">(100000)*(N51/N46)</f>
        <v>3163.8791047404225</v>
      </c>
      <c r="O52" s="6">
        <f t="shared" si="15"/>
        <v>3344.6980363175012</v>
      </c>
      <c r="P52" s="6">
        <f t="shared" si="15"/>
        <v>3255.0892284509218</v>
      </c>
      <c r="Q52" s="6">
        <v>3233.8505325296751</v>
      </c>
      <c r="R52" s="6">
        <v>3585.3562020428985</v>
      </c>
      <c r="S52" s="6">
        <v>3519.42190409062</v>
      </c>
      <c r="T52" s="6">
        <v>3305.407832241407</v>
      </c>
      <c r="U52" s="8"/>
    </row>
    <row r="53" spans="1:27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6"/>
      <c r="M53" s="6"/>
      <c r="N53" s="6"/>
      <c r="O53" s="6"/>
      <c r="P53" s="6"/>
      <c r="Q53" s="6"/>
      <c r="R53" s="6"/>
      <c r="S53" s="6"/>
      <c r="T53" s="6"/>
    </row>
    <row r="54" spans="1:27" x14ac:dyDescent="0.25">
      <c r="A54" s="10" t="s">
        <v>15</v>
      </c>
      <c r="B54" s="2"/>
      <c r="C54" s="2"/>
      <c r="D54" s="2"/>
      <c r="E54" s="2"/>
      <c r="F54" s="2"/>
      <c r="G54" s="2"/>
      <c r="H54" s="2"/>
      <c r="I54" s="2"/>
      <c r="J54" s="6"/>
      <c r="M54" s="6"/>
      <c r="N54" s="6"/>
      <c r="O54" s="6"/>
      <c r="P54" s="6"/>
      <c r="Q54" s="6"/>
      <c r="R54" s="6"/>
      <c r="S54" s="6"/>
      <c r="T54" s="6"/>
      <c r="Y54" s="8"/>
      <c r="Z54" s="8"/>
      <c r="AA54" s="8"/>
    </row>
    <row r="55" spans="1:27" x14ac:dyDescent="0.25">
      <c r="A55" s="2"/>
      <c r="B55" s="2"/>
      <c r="C55" s="3">
        <v>2007</v>
      </c>
      <c r="D55" s="3">
        <v>2008</v>
      </c>
      <c r="E55" s="3">
        <v>2009</v>
      </c>
      <c r="F55" s="3">
        <v>2010</v>
      </c>
      <c r="G55" s="3">
        <v>2011</v>
      </c>
      <c r="H55" s="3">
        <v>2012</v>
      </c>
      <c r="I55" s="3">
        <v>2013</v>
      </c>
      <c r="J55" s="12">
        <v>2014</v>
      </c>
      <c r="K55" s="3">
        <v>2015</v>
      </c>
      <c r="L55" s="3">
        <v>2016</v>
      </c>
      <c r="M55" s="12">
        <v>2017</v>
      </c>
      <c r="N55" s="3">
        <v>2018</v>
      </c>
      <c r="O55" s="3">
        <v>2019</v>
      </c>
      <c r="P55" s="3">
        <v>2020</v>
      </c>
      <c r="Q55" s="3">
        <v>2021</v>
      </c>
      <c r="R55" s="3">
        <v>2022</v>
      </c>
      <c r="S55" s="3">
        <v>2023</v>
      </c>
      <c r="T55" s="3">
        <v>2024</v>
      </c>
      <c r="U55" s="3"/>
    </row>
    <row r="56" spans="1:27" x14ac:dyDescent="0.25">
      <c r="A56" s="2"/>
      <c r="B56" s="4" t="s">
        <v>2</v>
      </c>
      <c r="C56" s="6">
        <f>10920+13764+19852+123324+44629+4291+39572+47253+35512+26455+218236+157913+9062+3039+196676+35090+132399+100933+19028+11452+24300+3616+0+0+0+56432+0+0+0+10739+0+0+0+3925+0+1239104</f>
        <v>2587516</v>
      </c>
      <c r="D56" s="6">
        <f>7940+1276214+13837+20011+125607+46153+4275+39541+48131+36221+26362+219135+162706+9105+3104+200470+36584+132600+100597+19651+11867+24561+3599+0+0+0+57010+0+0+0+11339+0+0+0+3966+0</f>
        <v>2640586</v>
      </c>
      <c r="E56" s="6">
        <f>14706+1290266+15063+20052+127432+46480+4254+39465+48798+36115+26344+218872+164766+9222+3129+202447+37061+132941+102675+19996+12133+25026+3594+0+0+0+57119+0+0+0+0+11594+0+0+0+4026+0</f>
        <v>2673576</v>
      </c>
      <c r="F56" s="6">
        <f>12896+1306775+15862+20265+130862+46674+4287+39870+49328+36937+26585+221921+166866+9357+3192+206308+133964+104051+20548+12436+25389+3656+0+0+0+57852+0+0+0+0+11808+0+0+0+4047+0</f>
        <v>2671736</v>
      </c>
      <c r="G56" s="6">
        <f>13214+1223021+13331+24227+121603+45975+4281+39472+50079+39335+29218+231650+179087+8744+5450+220841+37126+142766+101311+20757+15147+23553+3759+0+0+0+57382+0+0+0+0+11515+0+0+0+3565+0</f>
        <v>2666409</v>
      </c>
      <c r="H56" s="6">
        <v>2707507</v>
      </c>
      <c r="I56" s="11">
        <v>2748644</v>
      </c>
      <c r="J56" s="6">
        <v>2787018</v>
      </c>
      <c r="K56" s="8">
        <v>2829734</v>
      </c>
      <c r="L56" s="8">
        <v>2857909</v>
      </c>
      <c r="M56" s="6">
        <v>2887503</v>
      </c>
      <c r="N56" s="6">
        <v>2931219</v>
      </c>
      <c r="O56" s="6">
        <v>2943177</v>
      </c>
      <c r="P56" s="6">
        <v>2947321</v>
      </c>
      <c r="Q56" s="6">
        <v>2929932</v>
      </c>
      <c r="R56" s="6">
        <v>2880842</v>
      </c>
      <c r="S56" s="6">
        <v>2914889</v>
      </c>
      <c r="T56" s="6">
        <v>2948421</v>
      </c>
      <c r="U56" s="8"/>
    </row>
    <row r="57" spans="1:27" x14ac:dyDescent="0.25">
      <c r="A57" s="2"/>
      <c r="B57" s="4" t="s">
        <v>3</v>
      </c>
      <c r="C57" s="6">
        <f>464+1219+1467+4127+1439+186+780+1715+1611+1508+9006+7938+275+181+9759+2048+6120+3404+285+641+446+130+244+134+48+1240+85+55+42+330+442+503+285+44+35+97210</f>
        <v>155446</v>
      </c>
      <c r="D57" s="6">
        <f>406+87179+1019+1854+4228+1635+164+745+1861+1639+1524+10014+8116+255+198+9282+1774+6618+3648+303+527+462+118+227+98+56+1055+102+36+46+333+444+479+213+29+65</f>
        <v>146752</v>
      </c>
      <c r="E57" s="6">
        <f>322+81585+1109+1841+4311+1814+162+703+1920+1816+1609+9706+8472+259+244+9031+1270+7273+3820+233+636+428+91+193+106+46+1143+103+49+49+46+268+461+440+210+24+51</f>
        <v>141844</v>
      </c>
      <c r="F57" s="6">
        <f>309+73286+959+1837+3694+1846+152+692+1794+1797+1211+9118+8082+223+220+8273+6998+3207+245+552+442+102+200+124+46+998+95+23+61+41+305+376+439+226+34+33</f>
        <v>128040</v>
      </c>
      <c r="G57" s="6">
        <f>284+70189+976+1715+3528+1720+173+677+1804+1718+1064+9213+7547+202+168+7308+1378+6939+2974+229+529+340+123+175+116+57+1037+83+29+63+29+268+380+459+212+28+28</f>
        <v>123762</v>
      </c>
      <c r="H57" s="6">
        <v>114476</v>
      </c>
      <c r="I57" s="11">
        <v>110587</v>
      </c>
      <c r="J57" s="6">
        <v>100333</v>
      </c>
      <c r="K57" s="8">
        <v>99450</v>
      </c>
      <c r="L57" s="8">
        <v>101981</v>
      </c>
      <c r="M57" s="6">
        <v>97890</v>
      </c>
      <c r="N57" s="6">
        <v>97328</v>
      </c>
      <c r="O57" s="6">
        <v>97855</v>
      </c>
      <c r="P57" s="6">
        <v>99058</v>
      </c>
      <c r="Q57" s="6">
        <v>96842</v>
      </c>
      <c r="R57" s="6">
        <v>102437</v>
      </c>
      <c r="S57" s="6">
        <v>102858</v>
      </c>
      <c r="T57" s="6">
        <v>91435</v>
      </c>
      <c r="U57" s="8"/>
    </row>
    <row r="58" spans="1:27" x14ac:dyDescent="0.25">
      <c r="A58" s="2"/>
      <c r="B58" s="4" t="s">
        <v>4</v>
      </c>
      <c r="C58" s="6">
        <f>100000*(C57/C56)</f>
        <v>6007.5377311676521</v>
      </c>
      <c r="D58" s="6">
        <f>100000*(D57/D56)</f>
        <v>5557.5542701506411</v>
      </c>
      <c r="E58" s="6">
        <f>100000*(E57/E56)</f>
        <v>5305.4036990158502</v>
      </c>
      <c r="F58" s="6">
        <f>100000*(F57/F56)</f>
        <v>4792.3896672425717</v>
      </c>
      <c r="G58" s="6">
        <f>100000*(G57/G56)</f>
        <v>4641.5234872069514</v>
      </c>
      <c r="H58" s="6">
        <v>4228.1000000000004</v>
      </c>
      <c r="I58" s="11">
        <v>4023.3</v>
      </c>
      <c r="J58" s="6">
        <v>3600.012629986602</v>
      </c>
      <c r="K58" s="8">
        <v>3514.5</v>
      </c>
      <c r="L58" s="6">
        <v>3568.4</v>
      </c>
      <c r="M58" s="6">
        <v>3390.1</v>
      </c>
      <c r="N58" s="6">
        <f t="shared" ref="N58" si="16">((N57/N56)*100000)</f>
        <v>3320.3933244155414</v>
      </c>
      <c r="O58" s="6">
        <f>((O57/O56)*100000)</f>
        <v>3324.808531732886</v>
      </c>
      <c r="P58" s="6">
        <f>((P57/P56)*100000)</f>
        <v>3360.9505038643565</v>
      </c>
      <c r="Q58" s="6">
        <v>3305.2644225190206</v>
      </c>
      <c r="R58" s="6">
        <v>3555.8006999342556</v>
      </c>
      <c r="S58" s="6">
        <v>3528.7106987607417</v>
      </c>
      <c r="T58" s="6">
        <v>3101.1514298670372</v>
      </c>
      <c r="U58" s="8"/>
    </row>
    <row r="59" spans="1:27" x14ac:dyDescent="0.25">
      <c r="A59" s="2"/>
      <c r="B59" s="4" t="s">
        <v>5</v>
      </c>
      <c r="C59" s="6"/>
      <c r="D59" s="6"/>
      <c r="E59" s="6"/>
      <c r="F59" s="6"/>
      <c r="G59" s="6"/>
      <c r="H59" s="6">
        <f>0+2+6+43+154+486+4093+3647+0+6+17+60+0+23+27+127+2+7+75+96+0+11+38+57+0+2+7+35+0+3+4+20+1+11+43+77+0+7+63+49+1+2+13+19+7+47+236+250+1+50+160+288+0+0+2+1+0+0+1+5+3+27+135+342+0+7+45+73+2+14+183+243+2+27+80+62+1+8+2+12+2+0+6+7+0+2+5+4+0+0+1+4+0+0+1+0+0+1+0+2+0+0+0+0+0+18+9+45+0+0+1+0+0+0+0+1+0+0+2+1+0+0+0+0+0+4+5+40+0+0+1+5+0+2+0+0+0+3+1+2+0+1+0+9+0+0+0+15</f>
        <v>11850</v>
      </c>
      <c r="I59" s="11">
        <f>185+829+5508+5254</f>
        <v>11776</v>
      </c>
      <c r="J59" s="6">
        <v>12022</v>
      </c>
      <c r="K59" s="8">
        <f>(188+1266+5614+5783)</f>
        <v>12851</v>
      </c>
      <c r="L59" s="8">
        <f>(217+1363+6275+6474)</f>
        <v>14329</v>
      </c>
      <c r="M59" s="6">
        <v>14688</v>
      </c>
      <c r="N59" s="6">
        <v>14305</v>
      </c>
      <c r="O59" s="6">
        <v>15756</v>
      </c>
      <c r="P59" s="6">
        <v>15677</v>
      </c>
      <c r="Q59" s="6">
        <v>15483</v>
      </c>
      <c r="R59" s="6">
        <v>14356</v>
      </c>
      <c r="S59" s="6">
        <v>13008</v>
      </c>
      <c r="T59" s="6">
        <v>13175</v>
      </c>
      <c r="U59" s="8"/>
    </row>
    <row r="60" spans="1:27" x14ac:dyDescent="0.25">
      <c r="A60" s="2"/>
      <c r="B60" s="4" t="s">
        <v>6</v>
      </c>
      <c r="C60" s="6"/>
      <c r="D60" s="6"/>
      <c r="E60" s="6"/>
      <c r="F60" s="6"/>
      <c r="G60" s="6"/>
      <c r="H60" s="6">
        <f>100000*(H59/H56)</f>
        <v>437.67199863195185</v>
      </c>
      <c r="I60" s="11">
        <f>100000*(I59/I56)</f>
        <v>428.42943647849626</v>
      </c>
      <c r="J60" s="6">
        <v>431.35709923653167</v>
      </c>
      <c r="K60" s="8">
        <f>100000*(K59/K56)</f>
        <v>454.14162603269426</v>
      </c>
      <c r="L60" s="8">
        <f>100000*(L59/L56)</f>
        <v>501.38055480422923</v>
      </c>
      <c r="M60" s="6">
        <f>(100000)*(M59)/M56</f>
        <v>508.67479618202992</v>
      </c>
      <c r="N60" s="6">
        <f t="shared" ref="N60:P60" si="17">(100000)*(N59)/N56</f>
        <v>488.02221874244128</v>
      </c>
      <c r="O60" s="6">
        <f t="shared" si="17"/>
        <v>535.3398725255056</v>
      </c>
      <c r="P60" s="6">
        <f t="shared" si="17"/>
        <v>531.90677228574691</v>
      </c>
      <c r="Q60" s="6">
        <v>528.44229831955147</v>
      </c>
      <c r="R60" s="6">
        <v>498.32653092394514</v>
      </c>
      <c r="S60" s="6">
        <v>446.26056086526796</v>
      </c>
      <c r="T60" s="6">
        <v>446.84934749820326</v>
      </c>
      <c r="U60" s="8"/>
    </row>
    <row r="61" spans="1:27" x14ac:dyDescent="0.25">
      <c r="A61" s="2"/>
      <c r="B61" s="4" t="s">
        <v>7</v>
      </c>
      <c r="C61" s="6"/>
      <c r="D61" s="6"/>
      <c r="E61" s="6"/>
      <c r="F61" s="6"/>
      <c r="G61" s="6"/>
      <c r="H61" s="6">
        <f>91+181+24+16090+31148+7062+92+673+79+215+1030+137+771+2358+285+367+1194+85+38+72+14+129+519+15+622+1042+118+344+863+156+169+864+91+2218+5866+591+1298+3316+632+17+229+7+36+125+41+1277+4466+564+593+808+141+1568+4030+687+698+2175+131+36+152+10+114+435+86+61+359+13+42+56+4+2+131+13+8+106+3+0+7+0+223+743+45+0+70+1+4+27+0+6+32+3+3+24+2+97+174+19+6+419+4+4+400+11+5+146+7+6+23+1+0+31+0</f>
        <v>102626</v>
      </c>
      <c r="I61" s="11">
        <f>24604+62834+11373</f>
        <v>98811</v>
      </c>
      <c r="J61" s="6">
        <v>88311</v>
      </c>
      <c r="K61" s="8">
        <f>(18508+56137+11954)</f>
        <v>86599</v>
      </c>
      <c r="L61" s="8">
        <f>(18473+57079+12100)</f>
        <v>87652</v>
      </c>
      <c r="M61" s="6">
        <v>83202</v>
      </c>
      <c r="N61" s="6">
        <v>83023</v>
      </c>
      <c r="O61" s="6">
        <v>82099</v>
      </c>
      <c r="P61" s="6">
        <v>83381</v>
      </c>
      <c r="Q61" s="6">
        <v>81359</v>
      </c>
      <c r="R61" s="6">
        <v>88081</v>
      </c>
      <c r="S61" s="6">
        <v>89850</v>
      </c>
      <c r="T61" s="6">
        <v>78260</v>
      </c>
      <c r="U61" s="8"/>
    </row>
    <row r="62" spans="1:27" x14ac:dyDescent="0.25">
      <c r="A62" s="2"/>
      <c r="B62" s="4" t="s">
        <v>8</v>
      </c>
      <c r="C62" s="6"/>
      <c r="D62" s="6"/>
      <c r="E62" s="6"/>
      <c r="F62" s="6"/>
      <c r="G62" s="6"/>
      <c r="H62" s="6">
        <f>100000*(H61/H56)</f>
        <v>3790.4241798820835</v>
      </c>
      <c r="I62" s="11">
        <f>100000*(I61/I56)</f>
        <v>3594.8998851797469</v>
      </c>
      <c r="J62" s="6">
        <v>3168.6555307500703</v>
      </c>
      <c r="K62" s="8">
        <f>100000*(K61/K56)</f>
        <v>3060.3229844218572</v>
      </c>
      <c r="L62" s="8">
        <f>100000*(L61/L56)</f>
        <v>3066.9975845976901</v>
      </c>
      <c r="M62" s="6">
        <f>(100000)*(M61/M56)</f>
        <v>2881.4515517386476</v>
      </c>
      <c r="N62" s="6">
        <f t="shared" ref="N62:P62" si="18">(100000)*(N61/N56)</f>
        <v>2832.3711056731008</v>
      </c>
      <c r="O62" s="6">
        <f t="shared" si="18"/>
        <v>2789.4686592073804</v>
      </c>
      <c r="P62" s="6">
        <f t="shared" si="18"/>
        <v>2829.0437315786098</v>
      </c>
      <c r="Q62" s="6">
        <v>2776.8221241994693</v>
      </c>
      <c r="R62" s="6">
        <v>3057.4741690103101</v>
      </c>
      <c r="S62" s="6">
        <v>3082.4501378954742</v>
      </c>
      <c r="T62" s="6">
        <v>2654.3020823688339</v>
      </c>
      <c r="U62" s="8"/>
    </row>
    <row r="63" spans="1:27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5"/>
    </row>
    <row r="64" spans="1:27" ht="102.75" x14ac:dyDescent="0.25">
      <c r="A64" s="5" t="s">
        <v>10</v>
      </c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x14ac:dyDescent="0.25">
      <c r="A65" s="2"/>
      <c r="B65" s="2"/>
      <c r="C65" s="2"/>
      <c r="D65" s="2"/>
      <c r="E65" s="2"/>
      <c r="F65" s="2"/>
      <c r="G65" s="2"/>
      <c r="H65" s="2"/>
      <c r="I65" s="2"/>
      <c r="J65" s="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x14ac:dyDescent="0.25">
      <c r="A66" s="2"/>
      <c r="B66" s="2"/>
      <c r="C66" s="2"/>
      <c r="D66" s="2"/>
      <c r="E66" s="2"/>
      <c r="F66" s="2"/>
      <c r="G66" s="2"/>
      <c r="H66" s="2"/>
      <c r="I66" s="2"/>
      <c r="J66" s="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x14ac:dyDescent="0.25">
      <c r="A67" s="3" t="s">
        <v>0</v>
      </c>
      <c r="B67" s="2"/>
      <c r="C67" s="2"/>
      <c r="D67" s="2"/>
      <c r="E67" s="2"/>
      <c r="F67" s="2"/>
      <c r="G67" s="2"/>
      <c r="H67" s="2"/>
      <c r="I67" s="2"/>
      <c r="J67" s="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x14ac:dyDescent="0.25">
      <c r="A68" s="2"/>
      <c r="B68" s="21" t="s">
        <v>26</v>
      </c>
      <c r="C68" s="2"/>
      <c r="D68" s="2"/>
      <c r="E68" s="2"/>
      <c r="F68" s="2"/>
      <c r="G68" s="2"/>
      <c r="H68" s="2"/>
      <c r="I68" s="2"/>
      <c r="J68" s="6"/>
      <c r="K68" s="2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x14ac:dyDescent="0.25">
      <c r="B69" s="21" t="s">
        <v>27</v>
      </c>
    </row>
    <row r="71" spans="1:24" x14ac:dyDescent="0.25">
      <c r="B71" s="2" t="s">
        <v>16</v>
      </c>
      <c r="C71" s="2"/>
    </row>
    <row r="72" spans="1:24" x14ac:dyDescent="0.25">
      <c r="B72" s="2"/>
      <c r="C72" s="2"/>
    </row>
    <row r="73" spans="1:24" x14ac:dyDescent="0.25">
      <c r="B73" s="2"/>
      <c r="C73" s="2" t="s">
        <v>17</v>
      </c>
    </row>
    <row r="74" spans="1:24" x14ac:dyDescent="0.25">
      <c r="B74" s="2"/>
      <c r="C74" s="2" t="s">
        <v>18</v>
      </c>
      <c r="K74" t="s">
        <v>23</v>
      </c>
    </row>
    <row r="75" spans="1:24" x14ac:dyDescent="0.25">
      <c r="B75" s="2"/>
      <c r="C75" s="2" t="s">
        <v>19</v>
      </c>
    </row>
    <row r="76" spans="1:24" x14ac:dyDescent="0.25">
      <c r="B76" s="2"/>
      <c r="C76" s="2" t="s">
        <v>20</v>
      </c>
    </row>
    <row r="77" spans="1:24" x14ac:dyDescent="0.25">
      <c r="B77" s="2"/>
      <c r="C77" s="2" t="s">
        <v>21</v>
      </c>
    </row>
    <row r="78" spans="1:24" x14ac:dyDescent="0.25">
      <c r="B78" s="2"/>
      <c r="C78" s="2" t="s">
        <v>22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2013-02-07T20:52:01Z</dcterms:created>
  <dcterms:modified xsi:type="dcterms:W3CDTF">2025-08-20T17:18:13Z</dcterms:modified>
</cp:coreProperties>
</file>