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Unemployment\For web\"/>
    </mc:Choice>
  </mc:AlternateContent>
  <xr:revisionPtr revIDLastSave="0" documentId="13_ncr:1_{D039BDF9-E9D8-4AE7-8D68-10C7F8D09905}" xr6:coauthVersionLast="47" xr6:coauthVersionMax="47" xr10:uidLastSave="{00000000-0000-0000-0000-000000000000}"/>
  <bookViews>
    <workbookView xWindow="23355" yWindow="1020" windowWidth="15375" windowHeight="13620" activeTab="1" xr2:uid="{00000000-000D-0000-FFFF-FFFF00000000}"/>
  </bookViews>
  <sheets>
    <sheet name="Sheet1" sheetId="1" r:id="rId1"/>
    <sheet name="MOE" sheetId="4" r:id="rId2"/>
    <sheet name="2022 MOE" sheetId="10" r:id="rId3"/>
    <sheet name="2021 MOE" sheetId="9" r:id="rId4"/>
    <sheet name="2019 MOE" sheetId="8" r:id="rId5"/>
    <sheet name="2018 MOE" sheetId="7" r:id="rId6"/>
    <sheet name="2017 MOE" sheetId="6" r:id="rId7"/>
    <sheet name="2016 MOE" sheetId="5" r:id="rId8"/>
    <sheet name="Sheet3" sheetId="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6" i="1" l="1"/>
  <c r="U6" i="1"/>
  <c r="F5" i="10" l="1"/>
  <c r="F5" i="4"/>
  <c r="V9" i="1"/>
  <c r="V8" i="1"/>
  <c r="V7" i="1"/>
  <c r="U9" i="1"/>
  <c r="U8" i="1"/>
  <c r="U7" i="1"/>
  <c r="I15" i="10" l="1"/>
  <c r="J15" i="10" s="1"/>
  <c r="K15" i="10" s="1"/>
  <c r="F15" i="10"/>
  <c r="J23" i="10" s="1"/>
  <c r="F14" i="10"/>
  <c r="I23" i="10" s="1"/>
  <c r="F12" i="10"/>
  <c r="I12" i="10" s="1"/>
  <c r="F11" i="10"/>
  <c r="I9" i="10"/>
  <c r="J9" i="10" s="1"/>
  <c r="K9" i="10" s="1"/>
  <c r="F9" i="10"/>
  <c r="M9" i="10" s="1"/>
  <c r="F8" i="10"/>
  <c r="I8" i="10" s="1"/>
  <c r="F6" i="10"/>
  <c r="I6" i="10" s="1"/>
  <c r="M12" i="10" l="1"/>
  <c r="L12" i="10"/>
  <c r="J12" i="10"/>
  <c r="K12" i="10" s="1"/>
  <c r="J8" i="10"/>
  <c r="K8" i="10" s="1"/>
  <c r="L8" i="10"/>
  <c r="M5" i="10"/>
  <c r="M6" i="10"/>
  <c r="L6" i="10"/>
  <c r="J6" i="10"/>
  <c r="K6" i="10" s="1"/>
  <c r="I20" i="10"/>
  <c r="I5" i="10"/>
  <c r="J5" i="10" s="1"/>
  <c r="K5" i="10" s="1"/>
  <c r="M8" i="10"/>
  <c r="I11" i="10"/>
  <c r="J11" i="10" s="1"/>
  <c r="K11" i="10" s="1"/>
  <c r="M14" i="10"/>
  <c r="J20" i="10"/>
  <c r="I21" i="10"/>
  <c r="L5" i="10"/>
  <c r="I22" i="10"/>
  <c r="J21" i="10"/>
  <c r="I14" i="10"/>
  <c r="J14" i="10" s="1"/>
  <c r="K14" i="10" s="1"/>
  <c r="J22" i="10"/>
  <c r="L9" i="10"/>
  <c r="L15" i="10"/>
  <c r="M15" i="10"/>
  <c r="L11" i="10" l="1"/>
  <c r="L14" i="10"/>
  <c r="M11" i="10"/>
  <c r="F5" i="9"/>
  <c r="F15" i="9" l="1"/>
  <c r="I15" i="9" s="1"/>
  <c r="F14" i="9"/>
  <c r="I14" i="9" s="1"/>
  <c r="J14" i="9" s="1"/>
  <c r="K14" i="9" s="1"/>
  <c r="F12" i="9"/>
  <c r="J22" i="9" s="1"/>
  <c r="F11" i="9"/>
  <c r="I11" i="9" s="1"/>
  <c r="F9" i="9"/>
  <c r="J21" i="9" s="1"/>
  <c r="F8" i="9"/>
  <c r="I8" i="9" s="1"/>
  <c r="J8" i="9" s="1"/>
  <c r="K8" i="9" s="1"/>
  <c r="F6" i="9"/>
  <c r="F5" i="8"/>
  <c r="I22" i="9" l="1"/>
  <c r="I23" i="9"/>
  <c r="J23" i="9"/>
  <c r="M11" i="9"/>
  <c r="L11" i="9"/>
  <c r="J11" i="9"/>
  <c r="K11" i="9" s="1"/>
  <c r="J15" i="9"/>
  <c r="K15" i="9" s="1"/>
  <c r="M15" i="9"/>
  <c r="L15" i="9"/>
  <c r="L14" i="9"/>
  <c r="I20" i="9"/>
  <c r="I6" i="9"/>
  <c r="J6" i="9" s="1"/>
  <c r="K6" i="9" s="1"/>
  <c r="L8" i="9"/>
  <c r="I5" i="9"/>
  <c r="M5" i="9" s="1"/>
  <c r="M8" i="9"/>
  <c r="M14" i="9"/>
  <c r="J20" i="9"/>
  <c r="I21" i="9"/>
  <c r="I12" i="9"/>
  <c r="J12" i="9" s="1"/>
  <c r="K12" i="9" s="1"/>
  <c r="I9" i="9"/>
  <c r="L6" i="9" l="1"/>
  <c r="M6" i="9"/>
  <c r="M12" i="9"/>
  <c r="J9" i="9"/>
  <c r="K9" i="9" s="1"/>
  <c r="L9" i="9"/>
  <c r="M9" i="9"/>
  <c r="J5" i="9"/>
  <c r="K5" i="9" s="1"/>
  <c r="L5" i="9"/>
  <c r="L12" i="9"/>
  <c r="H15" i="8" l="1"/>
  <c r="F15" i="8"/>
  <c r="J23" i="8" s="1"/>
  <c r="H14" i="8"/>
  <c r="F14" i="8"/>
  <c r="H12" i="8"/>
  <c r="F12" i="8"/>
  <c r="J22" i="8" s="1"/>
  <c r="H11" i="8"/>
  <c r="F11" i="8"/>
  <c r="I11" i="8" s="1"/>
  <c r="H9" i="8"/>
  <c r="F9" i="8"/>
  <c r="I9" i="8" s="1"/>
  <c r="H8" i="8"/>
  <c r="F8" i="8"/>
  <c r="H6" i="8"/>
  <c r="F6" i="8"/>
  <c r="I5" i="8"/>
  <c r="J5" i="8" s="1"/>
  <c r="K5" i="8" s="1"/>
  <c r="H5" i="8"/>
  <c r="L5" i="8"/>
  <c r="J23" i="5"/>
  <c r="J22" i="5"/>
  <c r="J21" i="5"/>
  <c r="J20" i="5"/>
  <c r="I23" i="5"/>
  <c r="I22" i="5"/>
  <c r="I21" i="5"/>
  <c r="I20" i="5"/>
  <c r="J23" i="6"/>
  <c r="I23" i="6"/>
  <c r="J22" i="6"/>
  <c r="I22" i="6"/>
  <c r="J21" i="6"/>
  <c r="I21" i="6"/>
  <c r="J20" i="6"/>
  <c r="I20" i="6"/>
  <c r="J23" i="7"/>
  <c r="I23" i="7"/>
  <c r="J22" i="7"/>
  <c r="I22" i="7"/>
  <c r="J21" i="7"/>
  <c r="I21" i="7"/>
  <c r="J20" i="7"/>
  <c r="I20" i="7"/>
  <c r="H15" i="7"/>
  <c r="F15" i="7"/>
  <c r="H14" i="7"/>
  <c r="F14" i="7"/>
  <c r="H12" i="7"/>
  <c r="F12" i="7"/>
  <c r="H11" i="7"/>
  <c r="F11" i="7"/>
  <c r="H9" i="7"/>
  <c r="F9" i="7"/>
  <c r="H8" i="7"/>
  <c r="F8" i="7"/>
  <c r="H6" i="7"/>
  <c r="F6" i="7"/>
  <c r="H5" i="7"/>
  <c r="F5" i="7"/>
  <c r="H15" i="6"/>
  <c r="F15" i="6"/>
  <c r="H14" i="6"/>
  <c r="F14" i="6"/>
  <c r="H12" i="6"/>
  <c r="F12" i="6"/>
  <c r="H11" i="6"/>
  <c r="F11" i="6"/>
  <c r="H9" i="6"/>
  <c r="F9" i="6"/>
  <c r="H8" i="6"/>
  <c r="F8" i="6"/>
  <c r="H6" i="6"/>
  <c r="F6" i="6"/>
  <c r="H5" i="6"/>
  <c r="F5" i="6"/>
  <c r="L15" i="5"/>
  <c r="I15" i="5"/>
  <c r="J15" i="5" s="1"/>
  <c r="G15" i="5"/>
  <c r="F15" i="5"/>
  <c r="E15" i="5"/>
  <c r="L14" i="5"/>
  <c r="J14" i="5"/>
  <c r="I14" i="5"/>
  <c r="G14" i="5"/>
  <c r="F14" i="5"/>
  <c r="E14" i="5"/>
  <c r="L12" i="5"/>
  <c r="I12" i="5"/>
  <c r="J12" i="5" s="1"/>
  <c r="G12" i="5"/>
  <c r="F12" i="5"/>
  <c r="E12" i="5"/>
  <c r="L11" i="5"/>
  <c r="I11" i="5"/>
  <c r="J11" i="5" s="1"/>
  <c r="G11" i="5"/>
  <c r="F11" i="5"/>
  <c r="E11" i="5"/>
  <c r="L9" i="5"/>
  <c r="I9" i="5"/>
  <c r="J9" i="5" s="1"/>
  <c r="G9" i="5"/>
  <c r="F9" i="5"/>
  <c r="E9" i="5"/>
  <c r="L8" i="5"/>
  <c r="I8" i="5"/>
  <c r="J8" i="5" s="1"/>
  <c r="G8" i="5"/>
  <c r="F8" i="5"/>
  <c r="E8" i="5"/>
  <c r="L6" i="5"/>
  <c r="I6" i="5"/>
  <c r="J6" i="5" s="1"/>
  <c r="G6" i="5"/>
  <c r="F6" i="5"/>
  <c r="E6" i="5"/>
  <c r="L5" i="5"/>
  <c r="I5" i="5"/>
  <c r="J5" i="5" s="1"/>
  <c r="G5" i="5"/>
  <c r="F5" i="5"/>
  <c r="E5" i="5"/>
  <c r="J11" i="8" l="1"/>
  <c r="K11" i="8" s="1"/>
  <c r="M11" i="8"/>
  <c r="M9" i="8"/>
  <c r="L9" i="8"/>
  <c r="J9" i="8"/>
  <c r="K9" i="8" s="1"/>
  <c r="I8" i="8"/>
  <c r="J8" i="8" s="1"/>
  <c r="K8" i="8" s="1"/>
  <c r="I20" i="8"/>
  <c r="M5" i="8"/>
  <c r="I6" i="8"/>
  <c r="J6" i="8" s="1"/>
  <c r="K6" i="8" s="1"/>
  <c r="L11" i="8"/>
  <c r="M12" i="8"/>
  <c r="J20" i="8"/>
  <c r="I21" i="8"/>
  <c r="I15" i="8"/>
  <c r="J15" i="8" s="1"/>
  <c r="K15" i="8" s="1"/>
  <c r="J21" i="8"/>
  <c r="L8" i="8"/>
  <c r="I14" i="8"/>
  <c r="J14" i="8" s="1"/>
  <c r="K14" i="8" s="1"/>
  <c r="I22" i="8"/>
  <c r="I12" i="8"/>
  <c r="J12" i="8" s="1"/>
  <c r="K12" i="8" s="1"/>
  <c r="I23" i="8"/>
  <c r="M15" i="8"/>
  <c r="I11" i="7"/>
  <c r="J11" i="7" s="1"/>
  <c r="K11" i="7" s="1"/>
  <c r="I6" i="7"/>
  <c r="J6" i="7" s="1"/>
  <c r="K6" i="7" s="1"/>
  <c r="I8" i="7"/>
  <c r="J8" i="7" s="1"/>
  <c r="K8" i="7" s="1"/>
  <c r="I15" i="7"/>
  <c r="J15" i="7" s="1"/>
  <c r="K15" i="7" s="1"/>
  <c r="I5" i="7"/>
  <c r="J5" i="7" s="1"/>
  <c r="K5" i="7" s="1"/>
  <c r="I12" i="7"/>
  <c r="J12" i="7" s="1"/>
  <c r="K12" i="7" s="1"/>
  <c r="I14" i="7"/>
  <c r="J14" i="7" s="1"/>
  <c r="K14" i="7" s="1"/>
  <c r="I9" i="7"/>
  <c r="J9" i="7" s="1"/>
  <c r="K9" i="7" s="1"/>
  <c r="I5" i="6"/>
  <c r="J5" i="6" s="1"/>
  <c r="K5" i="6" s="1"/>
  <c r="I6" i="6"/>
  <c r="J6" i="6" s="1"/>
  <c r="K6" i="6" s="1"/>
  <c r="I14" i="6"/>
  <c r="J14" i="6" s="1"/>
  <c r="K14" i="6" s="1"/>
  <c r="I11" i="6"/>
  <c r="J11" i="6" s="1"/>
  <c r="K11" i="6" s="1"/>
  <c r="I12" i="6"/>
  <c r="J12" i="6" s="1"/>
  <c r="K12" i="6" s="1"/>
  <c r="I9" i="6"/>
  <c r="J9" i="6" s="1"/>
  <c r="K9" i="6" s="1"/>
  <c r="L9" i="6"/>
  <c r="I8" i="6"/>
  <c r="J8" i="6" s="1"/>
  <c r="K8" i="6" s="1"/>
  <c r="I15" i="6"/>
  <c r="J15" i="6" s="1"/>
  <c r="K15" i="6" s="1"/>
  <c r="M8" i="5"/>
  <c r="N8" i="5" s="1"/>
  <c r="O8" i="5" s="1"/>
  <c r="M12" i="5"/>
  <c r="N12" i="5" s="1"/>
  <c r="O12" i="5" s="1"/>
  <c r="Q12" i="5"/>
  <c r="P12" i="5"/>
  <c r="P11" i="5"/>
  <c r="M11" i="5"/>
  <c r="N11" i="5" s="1"/>
  <c r="O11" i="5" s="1"/>
  <c r="M15" i="5"/>
  <c r="N15" i="5" s="1"/>
  <c r="O15" i="5" s="1"/>
  <c r="M9" i="5"/>
  <c r="N9" i="5" s="1"/>
  <c r="O9" i="5" s="1"/>
  <c r="M5" i="5"/>
  <c r="N5" i="5" s="1"/>
  <c r="O5" i="5" s="1"/>
  <c r="M6" i="5"/>
  <c r="N6" i="5" s="1"/>
  <c r="O6" i="5" s="1"/>
  <c r="M14" i="5"/>
  <c r="N14" i="5" s="1"/>
  <c r="O14" i="5" s="1"/>
  <c r="L6" i="8" l="1"/>
  <c r="M14" i="8"/>
  <c r="M6" i="8"/>
  <c r="L15" i="8"/>
  <c r="L12" i="8"/>
  <c r="L14" i="8"/>
  <c r="M8" i="8"/>
  <c r="M12" i="7"/>
  <c r="L9" i="7"/>
  <c r="M8" i="7"/>
  <c r="M5" i="7"/>
  <c r="L6" i="7"/>
  <c r="M9" i="7"/>
  <c r="M6" i="7"/>
  <c r="M14" i="7"/>
  <c r="L15" i="7"/>
  <c r="L11" i="7"/>
  <c r="L5" i="7"/>
  <c r="L14" i="7"/>
  <c r="M15" i="7"/>
  <c r="L12" i="7"/>
  <c r="L8" i="7"/>
  <c r="M11" i="7"/>
  <c r="M9" i="6"/>
  <c r="M6" i="6"/>
  <c r="M15" i="6"/>
  <c r="L15" i="6"/>
  <c r="M14" i="6"/>
  <c r="L12" i="6"/>
  <c r="L6" i="6"/>
  <c r="M8" i="6"/>
  <c r="L5" i="6"/>
  <c r="M12" i="6"/>
  <c r="L8" i="6"/>
  <c r="L11" i="6"/>
  <c r="M11" i="6"/>
  <c r="L14" i="6"/>
  <c r="M5" i="6"/>
  <c r="P6" i="5"/>
  <c r="Q15" i="5"/>
  <c r="P15" i="5"/>
  <c r="P14" i="5"/>
  <c r="Q5" i="5"/>
  <c r="Q11" i="5"/>
  <c r="P8" i="5"/>
  <c r="Q14" i="5"/>
  <c r="P9" i="5"/>
  <c r="Q9" i="5"/>
  <c r="Q6" i="5"/>
  <c r="P5" i="5"/>
  <c r="Q8" i="5"/>
  <c r="F12" i="4"/>
  <c r="J22" i="4" s="1"/>
  <c r="F11" i="4"/>
  <c r="I22" i="4" s="1"/>
  <c r="F15" i="4"/>
  <c r="J23" i="4" s="1"/>
  <c r="F14" i="4"/>
  <c r="I23" i="4" s="1"/>
  <c r="F6" i="4"/>
  <c r="J20" i="4" s="1"/>
  <c r="F9" i="4"/>
  <c r="J21" i="4" s="1"/>
  <c r="F8" i="4"/>
  <c r="D5" i="1"/>
  <c r="E5" i="1"/>
  <c r="F5" i="1"/>
  <c r="G5" i="1"/>
  <c r="D6" i="1"/>
  <c r="E6" i="1"/>
  <c r="F6" i="1"/>
  <c r="G6" i="1"/>
  <c r="D8" i="1"/>
  <c r="E8" i="1"/>
  <c r="F8" i="1"/>
  <c r="G8" i="1"/>
  <c r="D9" i="1"/>
  <c r="E9" i="1"/>
  <c r="F9" i="1"/>
  <c r="G9" i="1"/>
  <c r="D11" i="1"/>
  <c r="E11" i="1"/>
  <c r="F11" i="1"/>
  <c r="G11" i="1"/>
  <c r="D12" i="1"/>
  <c r="E12" i="1"/>
  <c r="F12" i="1"/>
  <c r="G12" i="1"/>
  <c r="D14" i="1"/>
  <c r="E14" i="1"/>
  <c r="F14" i="1"/>
  <c r="G14" i="1"/>
  <c r="D15" i="1"/>
  <c r="E15" i="1"/>
  <c r="F15" i="1"/>
  <c r="G15" i="1"/>
  <c r="I5" i="4" l="1"/>
  <c r="J5" i="4" s="1"/>
  <c r="K5" i="4" s="1"/>
  <c r="I20" i="4"/>
  <c r="I8" i="4"/>
  <c r="J8" i="4" s="1"/>
  <c r="K8" i="4" s="1"/>
  <c r="I21" i="4"/>
  <c r="I6" i="4"/>
  <c r="J6" i="4" s="1"/>
  <c r="K6" i="4" s="1"/>
  <c r="I9" i="4"/>
  <c r="J9" i="4" s="1"/>
  <c r="K9" i="4" s="1"/>
  <c r="I12" i="4"/>
  <c r="J12" i="4" s="1"/>
  <c r="K12" i="4" s="1"/>
  <c r="I11" i="4"/>
  <c r="J11" i="4" s="1"/>
  <c r="K11" i="4" s="1"/>
  <c r="I15" i="4"/>
  <c r="J15" i="4" s="1"/>
  <c r="K15" i="4" s="1"/>
  <c r="I14" i="4"/>
  <c r="J14" i="4" s="1"/>
  <c r="K14" i="4" s="1"/>
  <c r="M8" i="4" l="1"/>
  <c r="L5" i="4"/>
  <c r="M5" i="4"/>
  <c r="L8" i="4"/>
  <c r="L6" i="4"/>
  <c r="M6" i="4"/>
  <c r="L12" i="4"/>
  <c r="L9" i="4"/>
  <c r="M9" i="4"/>
  <c r="M12" i="4"/>
  <c r="L11" i="4"/>
  <c r="M11" i="4"/>
  <c r="L15" i="4"/>
  <c r="M15" i="4"/>
  <c r="L14" i="4"/>
  <c r="M14" i="4"/>
</calcChain>
</file>

<file path=xl/sharedStrings.xml><?xml version="1.0" encoding="utf-8"?>
<sst xmlns="http://schemas.openxmlformats.org/spreadsheetml/2006/main" count="285" uniqueCount="32">
  <si>
    <t>Travis County</t>
  </si>
  <si>
    <t>Austin-Round Rock MSA</t>
  </si>
  <si>
    <t>Texas</t>
  </si>
  <si>
    <t>USA</t>
  </si>
  <si>
    <t>Data Source</t>
  </si>
  <si>
    <t>% Unemployed by Disability Status</t>
  </si>
  <si>
    <t>With a Disability</t>
  </si>
  <si>
    <t>No Disability</t>
  </si>
  <si>
    <t>All civilians 16 years old and over are classified as unemployed if they (1) were neither "at work" nor "with a job but not at work" during the reference week, and (2) were actively looking for work during the last 4 weeks, and (3) were available to accept a job. Also included as unemployed are civilians who did not work at all during the reference week, were waiting to be called back to a job from which they had been laid off, and were available for work except for temporary illness.</t>
  </si>
  <si>
    <t>American Community Survey, 1 Year Estimates - Detailed Tables</t>
  </si>
  <si>
    <t>B18120 - Employment Status by Disability Status and Type</t>
    <phoneticPr fontId="7" type="noConversion"/>
  </si>
  <si>
    <t>Num MOE</t>
    <phoneticPr fontId="7" type="noConversion"/>
  </si>
  <si>
    <t>Denom MOE</t>
    <phoneticPr fontId="7" type="noConversion"/>
  </si>
  <si>
    <t>MOE Total</t>
    <phoneticPr fontId="7" type="noConversion"/>
  </si>
  <si>
    <t>SE</t>
    <phoneticPr fontId="7" type="noConversion"/>
  </si>
  <si>
    <t>CV</t>
    <phoneticPr fontId="7" type="noConversion"/>
  </si>
  <si>
    <t>Upper Estimate</t>
    <phoneticPr fontId="7" type="noConversion"/>
  </si>
  <si>
    <t>Lower Estimate</t>
    <phoneticPr fontId="7" type="noConversion"/>
  </si>
  <si>
    <t># Unemployed</t>
    <phoneticPr fontId="7" type="noConversion"/>
  </si>
  <si>
    <t># in Labor Force</t>
    <phoneticPr fontId="7" type="noConversion"/>
  </si>
  <si>
    <t>Upper Estimate</t>
  </si>
  <si>
    <t>Lower Estimate</t>
  </si>
  <si>
    <t>Austin MSA</t>
  </si>
  <si>
    <t>With Disability</t>
  </si>
  <si>
    <t>Without Disability</t>
  </si>
  <si>
    <t>Overall Employed</t>
  </si>
  <si>
    <t>2020*</t>
  </si>
  <si>
    <t>* The US Census Bureau did not release 2020 ACS 1-Year Data. Without the population data from the ACS, some rates were not possible to calculate for 2020.</t>
  </si>
  <si>
    <r>
      <rPr>
        <b/>
        <sz val="10"/>
        <color rgb="FF000000"/>
        <rFont val="Tw Cen MT"/>
        <family val="2"/>
      </rPr>
      <t>B18120</t>
    </r>
    <r>
      <rPr>
        <sz val="10"/>
        <color indexed="8"/>
        <rFont val="Tw Cen MT"/>
        <family val="2"/>
      </rPr>
      <t xml:space="preserve"> - Employment Status by Disability Status and Type</t>
    </r>
  </si>
  <si>
    <r>
      <rPr>
        <b/>
        <sz val="10"/>
        <color rgb="FF000000"/>
        <rFont val="Tw Cen MT"/>
        <family val="2"/>
      </rPr>
      <t xml:space="preserve">American Community Survey, 1 Year Estimates </t>
    </r>
    <r>
      <rPr>
        <sz val="10"/>
        <color indexed="8"/>
        <rFont val="Tw Cen MT"/>
        <family val="2"/>
      </rPr>
      <t>- Detailed Tables</t>
    </r>
  </si>
  <si>
    <t>https://data.census.gov/cedsci/table?q=b18120&amp;g=0500000US48453</t>
  </si>
  <si>
    <t>Percent of Labor Force that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</si>
</sst>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sz val="11"/>
      <color indexed="8"/>
      <name val="Calibri"/>
      <family val="2"/>
    </font>
    <font>
      <sz val="10"/>
      <color indexed="8"/>
      <name val="Corbel"/>
      <family val="2"/>
    </font>
    <font>
      <b/>
      <sz val="10"/>
      <color indexed="8"/>
      <name val="Corbel"/>
      <family val="2"/>
    </font>
    <font>
      <sz val="10"/>
      <color indexed="8"/>
      <name val="Corbel"/>
      <family val="2"/>
    </font>
    <font>
      <b/>
      <u/>
      <sz val="11"/>
      <color indexed="8"/>
      <name val="Corbel"/>
      <family val="2"/>
    </font>
    <font>
      <sz val="8"/>
      <name val="Verdana"/>
      <family val="2"/>
    </font>
    <font>
      <sz val="10"/>
      <color theme="1"/>
      <name val="Corbel"/>
      <family val="2"/>
    </font>
    <font>
      <b/>
      <sz val="10"/>
      <color indexed="8"/>
      <name val="Tw Cen MT"/>
      <family val="2"/>
    </font>
    <font>
      <sz val="10"/>
      <color indexed="8"/>
      <name val="Tw Cen MT"/>
      <family val="2"/>
    </font>
    <font>
      <sz val="11"/>
      <color theme="9"/>
      <name val="Tw Cen MT"/>
      <family val="2"/>
    </font>
    <font>
      <sz val="10"/>
      <color theme="1"/>
      <name val="Tw Cen MT"/>
      <family val="2"/>
    </font>
    <font>
      <sz val="11"/>
      <name val="Tw Cen MT"/>
      <family val="2"/>
    </font>
    <font>
      <b/>
      <sz val="11"/>
      <color theme="1"/>
      <name val="Tw Cen MT"/>
      <family val="2"/>
    </font>
    <font>
      <b/>
      <sz val="10"/>
      <color rgb="FF000000"/>
      <name val="Tw Cen MT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164" fontId="8" fillId="0" borderId="0" xfId="2" applyNumberFormat="1" applyFont="1"/>
    <xf numFmtId="0" fontId="9" fillId="0" borderId="0" xfId="0" applyFont="1"/>
    <xf numFmtId="0" fontId="10" fillId="0" borderId="0" xfId="0" applyFont="1"/>
    <xf numFmtId="0" fontId="1" fillId="0" borderId="0" xfId="0" applyFont="1"/>
    <xf numFmtId="0" fontId="9" fillId="0" borderId="0" xfId="0" applyFont="1" applyAlignment="1">
      <alignment horizontal="right"/>
    </xf>
    <xf numFmtId="164" fontId="10" fillId="0" borderId="0" xfId="0" applyNumberFormat="1" applyFont="1"/>
    <xf numFmtId="10" fontId="10" fillId="0" borderId="0" xfId="0" applyNumberFormat="1" applyFont="1"/>
    <xf numFmtId="165" fontId="10" fillId="0" borderId="0" xfId="1" applyNumberFormat="1" applyFont="1"/>
    <xf numFmtId="165" fontId="10" fillId="0" borderId="0" xfId="1" applyNumberFormat="1" applyFont="1" applyAlignment="1">
      <alignment horizontal="right"/>
    </xf>
    <xf numFmtId="10" fontId="1" fillId="0" borderId="0" xfId="0" applyNumberFormat="1" applyFont="1"/>
    <xf numFmtId="10" fontId="11" fillId="0" borderId="0" xfId="0" applyNumberFormat="1" applyFont="1"/>
    <xf numFmtId="164" fontId="12" fillId="0" borderId="0" xfId="2" applyNumberFormat="1" applyFont="1"/>
    <xf numFmtId="10" fontId="13" fillId="0" borderId="0" xfId="0" applyNumberFormat="1" applyFont="1"/>
    <xf numFmtId="0" fontId="14" fillId="0" borderId="0" xfId="0" applyFont="1"/>
    <xf numFmtId="9" fontId="1" fillId="0" borderId="0" xfId="2" applyFont="1"/>
    <xf numFmtId="10" fontId="0" fillId="0" borderId="0" xfId="2" applyNumberFormat="1" applyFont="1"/>
    <xf numFmtId="0" fontId="16" fillId="0" borderId="0" xfId="0" applyFont="1"/>
    <xf numFmtId="9" fontId="10" fillId="0" borderId="0" xfId="2" applyFont="1"/>
    <xf numFmtId="0" fontId="9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Percent of the Labor Force that is Unemployed,</a:t>
            </a:r>
            <a:endParaRPr lang="en-US" sz="1400">
              <a:effectLst/>
            </a:endParaRPr>
          </a:p>
          <a:p>
            <a:pPr>
              <a:defRPr/>
            </a:pPr>
            <a:r>
              <a:rPr lang="en-US" sz="1400" b="0" i="0" baseline="0">
                <a:effectLst/>
              </a:rPr>
              <a:t>by Disability Status, 2023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Sheet1!$U$5</c:f>
              <c:strCache>
                <c:ptCount val="1"/>
                <c:pt idx="0">
                  <c:v>With a Disability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Sheet1!$T$6:$T$9</c:f>
              <c:strCache>
                <c:ptCount val="4"/>
                <c:pt idx="0">
                  <c:v>Travis County</c:v>
                </c:pt>
                <c:pt idx="1">
                  <c:v>Austin MSA</c:v>
                </c:pt>
                <c:pt idx="2">
                  <c:v>Texas</c:v>
                </c:pt>
                <c:pt idx="3">
                  <c:v>USA</c:v>
                </c:pt>
              </c:strCache>
            </c:strRef>
          </c:cat>
          <c:val>
            <c:numRef>
              <c:f>Sheet1!$U$6:$U$9</c:f>
              <c:numCache>
                <c:formatCode>0.00%</c:formatCode>
                <c:ptCount val="4"/>
                <c:pt idx="0">
                  <c:v>0.13366492243403658</c:v>
                </c:pt>
                <c:pt idx="1">
                  <c:v>0.10690125891096618</c:v>
                </c:pt>
                <c:pt idx="2">
                  <c:v>9.0742279239214726E-2</c:v>
                </c:pt>
                <c:pt idx="3">
                  <c:v>9.304951873318841E-2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9-4743-864F-00E5C7AB36BA}"/>
            </c:ext>
          </c:extLst>
        </c:ser>
        <c:ser>
          <c:idx val="1"/>
          <c:order val="1"/>
          <c:tx>
            <c:strRef>
              <c:f>Sheet1!$V$5</c:f>
              <c:strCache>
                <c:ptCount val="1"/>
                <c:pt idx="0">
                  <c:v>No Disability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Sheet1!$T$6:$T$9</c:f>
              <c:strCache>
                <c:ptCount val="4"/>
                <c:pt idx="0">
                  <c:v>Travis County</c:v>
                </c:pt>
                <c:pt idx="1">
                  <c:v>Austin MSA</c:v>
                </c:pt>
                <c:pt idx="2">
                  <c:v>Texas</c:v>
                </c:pt>
                <c:pt idx="3">
                  <c:v>USA</c:v>
                </c:pt>
              </c:strCache>
            </c:strRef>
          </c:cat>
          <c:val>
            <c:numRef>
              <c:f>Sheet1!$V$6:$V$9</c:f>
              <c:numCache>
                <c:formatCode>0.00%</c:formatCode>
                <c:ptCount val="4"/>
                <c:pt idx="0">
                  <c:v>3.4069143574004791E-2</c:v>
                </c:pt>
                <c:pt idx="1">
                  <c:v>3.3668446000157441E-2</c:v>
                </c:pt>
                <c:pt idx="2">
                  <c:v>3.975411900668608E-2</c:v>
                </c:pt>
                <c:pt idx="3">
                  <c:v>3.8875241890976159E-2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09-4743-864F-00E5C7AB3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415152"/>
        <c:axId val="484415472"/>
      </c:barChart>
      <c:catAx>
        <c:axId val="48441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415472"/>
        <c:crosses val="autoZero"/>
        <c:auto val="1"/>
        <c:lblAlgn val="ctr"/>
        <c:lblOffset val="100"/>
        <c:noMultiLvlLbl val="0"/>
      </c:catAx>
      <c:valAx>
        <c:axId val="48441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415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Percent of the Labor Force that is Unemployed,</a:t>
            </a:r>
          </a:p>
          <a:p>
            <a:pPr>
              <a:defRPr/>
            </a:pPr>
            <a:r>
              <a:rPr lang="en-US"/>
              <a:t>by Disability Status, 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59273840769903"/>
          <c:y val="0.24307888597258676"/>
          <c:w val="0.87189311862332997"/>
          <c:h val="0.58522124206069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Sheet3!$B$3</c:f>
              <c:strCache>
                <c:ptCount val="1"/>
                <c:pt idx="0">
                  <c:v>With a Disability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Sheet3!$A$4:$A$7</c:f>
              <c:strCache>
                <c:ptCount val="4"/>
                <c:pt idx="0">
                  <c:v>Travis County</c:v>
                </c:pt>
                <c:pt idx="1">
                  <c:v>Austin MSA</c:v>
                </c:pt>
                <c:pt idx="2">
                  <c:v>Texas</c:v>
                </c:pt>
                <c:pt idx="3">
                  <c:v>USA</c:v>
                </c:pt>
              </c:strCache>
            </c:strRef>
          </c:cat>
          <c:val>
            <c:numRef>
              <c:f>Sheet3!$B$4:$B$7</c:f>
              <c:numCache>
                <c:formatCode>0.0%</c:formatCode>
                <c:ptCount val="4"/>
                <c:pt idx="0">
                  <c:v>6.7979210408563653E-2</c:v>
                </c:pt>
                <c:pt idx="1">
                  <c:v>9.7784479758728685E-2</c:v>
                </c:pt>
                <c:pt idx="2">
                  <c:v>0.11662365302389109</c:v>
                </c:pt>
                <c:pt idx="3">
                  <c:v>0.12738636872663572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7D-4F38-BB10-69C865B4B269}"/>
            </c:ext>
          </c:extLst>
        </c:ser>
        <c:ser>
          <c:idx val="1"/>
          <c:order val="1"/>
          <c:tx>
            <c:strRef>
              <c:f>Sheet3!$C$3</c:f>
              <c:strCache>
                <c:ptCount val="1"/>
                <c:pt idx="0">
                  <c:v>No Disability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Sheet3!$A$4:$A$7</c:f>
              <c:strCache>
                <c:ptCount val="4"/>
                <c:pt idx="0">
                  <c:v>Travis County</c:v>
                </c:pt>
                <c:pt idx="1">
                  <c:v>Austin MSA</c:v>
                </c:pt>
                <c:pt idx="2">
                  <c:v>Texas</c:v>
                </c:pt>
                <c:pt idx="3">
                  <c:v>USA</c:v>
                </c:pt>
              </c:strCache>
            </c:strRef>
          </c:cat>
          <c:val>
            <c:numRef>
              <c:f>Sheet3!$C$4:$C$7</c:f>
              <c:numCache>
                <c:formatCode>0.0%</c:formatCode>
                <c:ptCount val="4"/>
                <c:pt idx="0">
                  <c:v>3.656015860507586E-2</c:v>
                </c:pt>
                <c:pt idx="1">
                  <c:v>4.0237498112078558E-2</c:v>
                </c:pt>
                <c:pt idx="2">
                  <c:v>5.1122973381018032E-2</c:v>
                </c:pt>
                <c:pt idx="3">
                  <c:v>5.2626526303175027E-2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7D-4F38-BB10-69C865B4B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7368736"/>
        <c:axId val="228083024"/>
      </c:barChart>
      <c:catAx>
        <c:axId val="40736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28083024"/>
        <c:crosses val="autoZero"/>
        <c:auto val="1"/>
        <c:lblAlgn val="ctr"/>
        <c:lblOffset val="100"/>
        <c:noMultiLvlLbl val="0"/>
      </c:catAx>
      <c:valAx>
        <c:axId val="22808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0736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401635485863691"/>
          <c:y val="0.91356527875793936"/>
          <c:w val="0.49481238351547702"/>
          <c:h val="7.65520798685619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440302</xdr:colOff>
      <xdr:row>15</xdr:row>
      <xdr:rowOff>204868</xdr:rowOff>
    </xdr:from>
    <xdr:to>
      <xdr:col>22</xdr:col>
      <xdr:colOff>525812</xdr:colOff>
      <xdr:row>25</xdr:row>
      <xdr:rowOff>83404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14045" y="2980725"/>
          <a:ext cx="4352710" cy="2665279"/>
        </a:xfrm>
        <a:prstGeom prst="rect">
          <a:avLst/>
        </a:prstGeom>
      </xdr:spPr>
    </xdr:pic>
    <xdr:clientData/>
  </xdr:twoCellAnchor>
  <xdr:twoCellAnchor>
    <xdr:from>
      <xdr:col>6</xdr:col>
      <xdr:colOff>285751</xdr:colOff>
      <xdr:row>15</xdr:row>
      <xdr:rowOff>176213</xdr:rowOff>
    </xdr:from>
    <xdr:to>
      <xdr:col>13</xdr:col>
      <xdr:colOff>552451</xdr:colOff>
      <xdr:row>25</xdr:row>
      <xdr:rowOff>166688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194E000-6951-42F5-94A2-6ABEEE5AF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12343</xdr:colOff>
      <xdr:row>8</xdr:row>
      <xdr:rowOff>19050</xdr:rowOff>
    </xdr:from>
    <xdr:to>
      <xdr:col>14</xdr:col>
      <xdr:colOff>134155</xdr:colOff>
      <xdr:row>22</xdr:row>
      <xdr:rowOff>173587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"/>
  <sheetViews>
    <sheetView topLeftCell="N1" zoomScale="130" zoomScaleNormal="130" workbookViewId="0">
      <selection activeCell="V14" sqref="V14"/>
    </sheetView>
  </sheetViews>
  <sheetFormatPr defaultColWidth="8.85546875" defaultRowHeight="15" x14ac:dyDescent="0.25"/>
  <cols>
    <col min="1" max="1" width="43.85546875" customWidth="1"/>
    <col min="2" max="2" width="23.85546875" customWidth="1"/>
    <col min="3" max="3" width="15.42578125" customWidth="1"/>
    <col min="6" max="6" width="9.42578125" bestFit="1" customWidth="1"/>
  </cols>
  <sheetData>
    <row r="1" spans="1:22" x14ac:dyDescent="0.25">
      <c r="A1" s="4" t="s">
        <v>5</v>
      </c>
      <c r="B1" s="6"/>
      <c r="C1" s="6"/>
      <c r="D1" s="7"/>
      <c r="E1" s="7"/>
      <c r="F1" s="7"/>
      <c r="G1" s="7"/>
      <c r="H1" s="7"/>
      <c r="I1" s="8"/>
      <c r="J1" s="8"/>
      <c r="K1" s="8"/>
    </row>
    <row r="2" spans="1:22" x14ac:dyDescent="0.25">
      <c r="A2" s="2"/>
      <c r="B2" s="6"/>
      <c r="C2" s="6"/>
      <c r="D2" s="7"/>
      <c r="E2" s="7"/>
      <c r="F2" s="7"/>
      <c r="G2" s="7"/>
      <c r="H2" s="7"/>
      <c r="I2" s="8"/>
      <c r="J2" s="8"/>
      <c r="K2" s="8"/>
    </row>
    <row r="3" spans="1:22" x14ac:dyDescent="0.25">
      <c r="A3" s="2"/>
      <c r="B3" s="6"/>
      <c r="C3" s="6"/>
      <c r="D3" s="6">
        <v>2009</v>
      </c>
      <c r="E3" s="6">
        <v>2010</v>
      </c>
      <c r="F3" s="6">
        <v>2011</v>
      </c>
      <c r="G3" s="6">
        <v>2012</v>
      </c>
      <c r="H3" s="6">
        <v>2013</v>
      </c>
      <c r="I3" s="6">
        <v>2014</v>
      </c>
      <c r="J3" s="6">
        <v>2015</v>
      </c>
      <c r="K3" s="6">
        <v>2016</v>
      </c>
      <c r="L3" s="6">
        <v>2017</v>
      </c>
      <c r="M3" s="6">
        <v>2018</v>
      </c>
      <c r="N3" s="6">
        <v>2019</v>
      </c>
      <c r="O3" s="6" t="s">
        <v>26</v>
      </c>
      <c r="P3" s="6">
        <v>2021</v>
      </c>
      <c r="Q3" s="6">
        <v>2022</v>
      </c>
      <c r="R3" s="6">
        <v>2023</v>
      </c>
    </row>
    <row r="4" spans="1:22" x14ac:dyDescent="0.25">
      <c r="A4" s="2"/>
      <c r="C4" s="9"/>
      <c r="D4" s="10"/>
      <c r="E4" s="10"/>
      <c r="F4" s="10"/>
      <c r="G4" s="10"/>
      <c r="H4" s="10"/>
      <c r="I4" s="16"/>
      <c r="J4" s="16"/>
      <c r="K4" s="8"/>
      <c r="L4" s="16"/>
      <c r="M4" s="16"/>
      <c r="N4" s="8"/>
      <c r="O4" s="8"/>
      <c r="P4" s="8"/>
      <c r="Q4" s="8"/>
      <c r="R4" s="8"/>
    </row>
    <row r="5" spans="1:22" x14ac:dyDescent="0.25">
      <c r="A5" s="2"/>
      <c r="B5" s="23" t="s">
        <v>0</v>
      </c>
      <c r="C5" s="9" t="s">
        <v>6</v>
      </c>
      <c r="D5" s="10">
        <f>5104/(5104+24287)</f>
        <v>0.17365860297369942</v>
      </c>
      <c r="E5" s="10">
        <f>4185/(4185+22188)</f>
        <v>0.15868501876919577</v>
      </c>
      <c r="F5" s="10">
        <f>3706/(3706+21809)</f>
        <v>0.14524789339604155</v>
      </c>
      <c r="G5" s="10">
        <f>4963/(4963+26125)</f>
        <v>0.15964359238291301</v>
      </c>
      <c r="H5" s="10">
        <v>0.1618548149733765</v>
      </c>
      <c r="I5" s="16">
        <v>0.11884597814246055</v>
      </c>
      <c r="J5" s="16">
        <v>0.10266984251128729</v>
      </c>
      <c r="K5" s="16">
        <v>6.7979210408563653E-2</v>
      </c>
      <c r="L5" s="16">
        <v>4.7305915365210734E-2</v>
      </c>
      <c r="M5" s="16">
        <v>8.8287436473230119E-2</v>
      </c>
      <c r="N5" s="16">
        <v>0.1178186775732788</v>
      </c>
      <c r="O5" s="16"/>
      <c r="P5" s="16">
        <v>8.4907493361542283E-2</v>
      </c>
      <c r="Q5" s="16">
        <v>7.6157335272324364E-2</v>
      </c>
      <c r="R5" s="16">
        <v>0.13366492243403658</v>
      </c>
      <c r="U5" t="s">
        <v>6</v>
      </c>
      <c r="V5" t="s">
        <v>7</v>
      </c>
    </row>
    <row r="6" spans="1:22" x14ac:dyDescent="0.25">
      <c r="A6" s="2"/>
      <c r="B6" s="23"/>
      <c r="C6" s="9" t="s">
        <v>7</v>
      </c>
      <c r="D6" s="10">
        <f>38630/(38630+511129)</f>
        <v>7.0267153425410039E-2</v>
      </c>
      <c r="E6" s="10">
        <f>41634/(41634+490667)</f>
        <v>7.8215145190409188E-2</v>
      </c>
      <c r="F6" s="10">
        <f>43343/(43343+511187)</f>
        <v>7.8161686473229589E-2</v>
      </c>
      <c r="G6" s="10">
        <f>35848/(35848+527009)</f>
        <v>6.3689356266334082E-2</v>
      </c>
      <c r="H6" s="10">
        <v>5.379517421862548E-2</v>
      </c>
      <c r="I6" s="16">
        <v>3.9666034516099485E-2</v>
      </c>
      <c r="J6" s="16">
        <v>3.8601443984748927E-2</v>
      </c>
      <c r="K6" s="16">
        <v>3.656015860507586E-2</v>
      </c>
      <c r="L6" s="16">
        <v>3.2309025597616205E-2</v>
      </c>
      <c r="M6" s="16">
        <v>3.4113976648819495E-2</v>
      </c>
      <c r="N6" s="16">
        <v>2.7912501383304436E-2</v>
      </c>
      <c r="O6" s="16"/>
      <c r="P6" s="16">
        <v>4.8059637752879018E-2</v>
      </c>
      <c r="Q6" s="16">
        <v>2.5686876701850127E-2</v>
      </c>
      <c r="R6" s="16">
        <v>3.4069143574004791E-2</v>
      </c>
      <c r="T6" t="s">
        <v>0</v>
      </c>
      <c r="U6" s="20">
        <f>R5</f>
        <v>0.13366492243403658</v>
      </c>
      <c r="V6" s="20">
        <f>R6</f>
        <v>3.4069143574004791E-2</v>
      </c>
    </row>
    <row r="7" spans="1:22" x14ac:dyDescent="0.25">
      <c r="A7" s="2"/>
      <c r="C7" s="9"/>
      <c r="D7" s="10"/>
      <c r="E7" s="10"/>
      <c r="F7" s="10"/>
      <c r="G7" s="10"/>
      <c r="H7" s="10"/>
      <c r="I7" s="16"/>
      <c r="J7" s="16"/>
      <c r="K7" s="16"/>
      <c r="L7" s="16"/>
      <c r="M7" s="16"/>
      <c r="N7" s="16"/>
      <c r="O7" s="16"/>
      <c r="P7" s="16"/>
      <c r="Q7" s="16"/>
      <c r="R7" s="16"/>
      <c r="T7" t="s">
        <v>22</v>
      </c>
      <c r="U7" s="20">
        <f>R8</f>
        <v>0.10690125891096618</v>
      </c>
      <c r="V7" s="20">
        <f>R9</f>
        <v>3.3668446000157441E-2</v>
      </c>
    </row>
    <row r="8" spans="1:22" x14ac:dyDescent="0.25">
      <c r="A8" s="2"/>
      <c r="B8" s="23" t="s">
        <v>22</v>
      </c>
      <c r="C8" s="9" t="s">
        <v>6</v>
      </c>
      <c r="D8" s="10">
        <f>8320/(8320+45844)</f>
        <v>0.15360756221844768</v>
      </c>
      <c r="E8" s="10">
        <f>7283/(7283+36089)</f>
        <v>0.16791939500138339</v>
      </c>
      <c r="F8" s="10">
        <f>8496/(8496+41695)</f>
        <v>0.16927337570480763</v>
      </c>
      <c r="G8" s="10">
        <f>8457/(8457+48096)</f>
        <v>0.14954113840114583</v>
      </c>
      <c r="H8" s="10">
        <v>0.13831927374773892</v>
      </c>
      <c r="I8" s="16">
        <v>0.11973541531121232</v>
      </c>
      <c r="J8" s="16">
        <v>0.11028161028161028</v>
      </c>
      <c r="K8" s="16">
        <v>9.7784479758728685E-2</v>
      </c>
      <c r="L8" s="16">
        <v>6.0823674805437725E-2</v>
      </c>
      <c r="M8" s="16">
        <v>0.10395811380400422</v>
      </c>
      <c r="N8" s="16">
        <v>0.1205975205975206</v>
      </c>
      <c r="O8" s="16"/>
      <c r="P8" s="16">
        <v>8.0545863748407304E-2</v>
      </c>
      <c r="Q8" s="16">
        <v>6.845589167162229E-2</v>
      </c>
      <c r="R8" s="16">
        <v>0.10690125891096618</v>
      </c>
      <c r="T8" t="s">
        <v>2</v>
      </c>
      <c r="U8" s="20">
        <f>R11</f>
        <v>9.0742279239214726E-2</v>
      </c>
      <c r="V8" s="20">
        <f>R12</f>
        <v>3.975411900668608E-2</v>
      </c>
    </row>
    <row r="9" spans="1:22" x14ac:dyDescent="0.25">
      <c r="A9" s="2"/>
      <c r="B9" s="23"/>
      <c r="C9" s="9" t="s">
        <v>7</v>
      </c>
      <c r="D9" s="10">
        <f>64260/(64260+800466)</f>
        <v>7.4312556809902786E-2</v>
      </c>
      <c r="E9" s="10">
        <f>66247/(66247+793879)</f>
        <v>7.7020111006991993E-2</v>
      </c>
      <c r="F9" s="10">
        <f>67825/(67825+818756)</f>
        <v>7.6501752236964246E-2</v>
      </c>
      <c r="G9" s="10">
        <f>58762/(58762+840995)</f>
        <v>6.5308744472118582E-2</v>
      </c>
      <c r="H9" s="10">
        <v>5.7087623908387938E-2</v>
      </c>
      <c r="I9" s="16">
        <v>4.2626479860920795E-2</v>
      </c>
      <c r="J9" s="16">
        <v>4.049983934593275E-2</v>
      </c>
      <c r="K9" s="16">
        <v>4.0237498112078558E-2</v>
      </c>
      <c r="L9" s="16">
        <v>3.4107045692824252E-2</v>
      </c>
      <c r="M9" s="16">
        <v>3.8938062846980905E-2</v>
      </c>
      <c r="N9" s="16">
        <v>3.1929261584032725E-2</v>
      </c>
      <c r="O9" s="16"/>
      <c r="P9" s="16">
        <v>4.6996445242460813E-2</v>
      </c>
      <c r="Q9" s="16">
        <v>2.5857839505563075E-2</v>
      </c>
      <c r="R9" s="16">
        <v>3.3668446000157441E-2</v>
      </c>
      <c r="T9" t="s">
        <v>3</v>
      </c>
      <c r="U9" s="20">
        <f>R14</f>
        <v>9.304951873318841E-2</v>
      </c>
      <c r="V9" s="20">
        <f>R15</f>
        <v>3.8875241890976159E-2</v>
      </c>
    </row>
    <row r="10" spans="1:22" x14ac:dyDescent="0.25">
      <c r="A10" s="2"/>
      <c r="C10" s="9"/>
      <c r="D10" s="10"/>
      <c r="E10" s="10"/>
      <c r="F10" s="10"/>
      <c r="G10" s="10"/>
      <c r="H10" s="10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1:22" x14ac:dyDescent="0.25">
      <c r="A11" s="2"/>
      <c r="B11" s="23" t="s">
        <v>2</v>
      </c>
      <c r="C11" s="9" t="s">
        <v>6</v>
      </c>
      <c r="D11" s="10">
        <f>97101/(97101+583091)</f>
        <v>0.14275528086187431</v>
      </c>
      <c r="E11" s="10">
        <f>109503/(109503+580960)</f>
        <v>0.15859358140841726</v>
      </c>
      <c r="F11" s="10">
        <f>116050/(116050+580472)</f>
        <v>0.16661354558793548</v>
      </c>
      <c r="G11" s="10">
        <f>107724/(107724+587548)</f>
        <v>0.15493792357523387</v>
      </c>
      <c r="H11" s="10">
        <v>0.14350753189601437</v>
      </c>
      <c r="I11" s="16">
        <v>0.1280550965283333</v>
      </c>
      <c r="J11" s="16">
        <v>0.11678620119868204</v>
      </c>
      <c r="K11" s="16">
        <v>0.11662365302389109</v>
      </c>
      <c r="L11" s="16">
        <v>0.10641980177812223</v>
      </c>
      <c r="M11" s="16">
        <v>0.10168886709705538</v>
      </c>
      <c r="N11" s="16">
        <v>9.2779590828590497E-2</v>
      </c>
      <c r="O11" s="16"/>
      <c r="P11" s="16">
        <v>0.11651343085572873</v>
      </c>
      <c r="Q11" s="16">
        <v>8.5938343247056792E-2</v>
      </c>
      <c r="R11" s="16">
        <v>9.0742279239214726E-2</v>
      </c>
    </row>
    <row r="12" spans="1:22" x14ac:dyDescent="0.25">
      <c r="A12" s="2"/>
      <c r="B12" s="23"/>
      <c r="C12" s="9" t="s">
        <v>7</v>
      </c>
      <c r="D12" s="10">
        <f>833374/(833374+10093432)</f>
        <v>7.6268765090182808E-2</v>
      </c>
      <c r="E12" s="10">
        <f>906693/(906693+10164775)</f>
        <v>8.1894559962599353E-2</v>
      </c>
      <c r="F12" s="10">
        <f>872178/(872178+10326827)</f>
        <v>7.7879954513816185E-2</v>
      </c>
      <c r="G12" s="10">
        <f>828640/(828640+10537118)</f>
        <v>7.2906708025984715E-2</v>
      </c>
      <c r="H12" s="10">
        <v>6.4856317595275062E-2</v>
      </c>
      <c r="I12" s="16">
        <v>5.5295852575014806E-2</v>
      </c>
      <c r="J12" s="16">
        <v>5.1154263821170096E-2</v>
      </c>
      <c r="K12" s="16">
        <v>5.1122973381018032E-2</v>
      </c>
      <c r="L12" s="16">
        <v>4.7151627618216257E-2</v>
      </c>
      <c r="M12" s="16">
        <v>4.5457132755863598E-2</v>
      </c>
      <c r="N12" s="16">
        <v>3.9975366602001385E-2</v>
      </c>
      <c r="O12" s="16"/>
      <c r="P12" s="16">
        <v>5.768942865108348E-2</v>
      </c>
      <c r="Q12" s="16">
        <v>3.983003332627915E-2</v>
      </c>
      <c r="R12" s="16">
        <v>3.975411900668608E-2</v>
      </c>
    </row>
    <row r="13" spans="1:22" x14ac:dyDescent="0.25">
      <c r="A13" s="2"/>
      <c r="C13" s="9"/>
      <c r="D13" s="10"/>
      <c r="E13" s="10"/>
      <c r="F13" s="10"/>
      <c r="G13" s="10"/>
      <c r="H13" s="10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22" x14ac:dyDescent="0.25">
      <c r="A14" s="3"/>
      <c r="B14" s="23" t="s">
        <v>3</v>
      </c>
      <c r="C14" s="9" t="s">
        <v>6</v>
      </c>
      <c r="D14" s="10">
        <f>1479136/(1479136+6723694)</f>
        <v>0.18032020656285697</v>
      </c>
      <c r="E14" s="10">
        <f>1616259/(1616259+6368644)</f>
        <v>0.20241435619192868</v>
      </c>
      <c r="F14" s="10">
        <f>1611611/(1611611+6424956)</f>
        <v>0.2005347556985464</v>
      </c>
      <c r="G14" s="11">
        <f>1478584/(1478584+6460934)</f>
        <v>0.18623095255908481</v>
      </c>
      <c r="H14" s="10">
        <v>0.17334763491212207</v>
      </c>
      <c r="I14" s="16">
        <v>0.15426731694923451</v>
      </c>
      <c r="J14" s="16">
        <v>0.13892391590885914</v>
      </c>
      <c r="K14" s="16">
        <v>0.12738636872663572</v>
      </c>
      <c r="L14" s="16">
        <v>0.11860744071367983</v>
      </c>
      <c r="M14" s="16">
        <v>0.11183424203671052</v>
      </c>
      <c r="N14" s="16">
        <v>0.10409833924472717</v>
      </c>
      <c r="O14" s="16"/>
      <c r="P14" s="16">
        <v>0.13183073796014808</v>
      </c>
      <c r="Q14" s="16">
        <v>9.2818521528387807E-2</v>
      </c>
      <c r="R14" s="16">
        <v>9.304951873318841E-2</v>
      </c>
    </row>
    <row r="15" spans="1:22" x14ac:dyDescent="0.25">
      <c r="A15" s="3"/>
      <c r="B15" s="23"/>
      <c r="C15" s="9" t="s">
        <v>7</v>
      </c>
      <c r="D15" s="10">
        <f>12881913/(12881913+126478646)</f>
        <v>9.2435859129985268E-2</v>
      </c>
      <c r="E15" s="10">
        <f>14066412/(14066412+125358735)</f>
        <v>0.10088862950956759</v>
      </c>
      <c r="F15" s="10">
        <f>13290077/(13290077+126475529)</f>
        <v>9.5088322373102288E-2</v>
      </c>
      <c r="G15" s="11">
        <f>12194917/(12194917+128308448)</f>
        <v>8.6794483534255562E-2</v>
      </c>
      <c r="H15" s="10">
        <v>7.7892433045359172E-2</v>
      </c>
      <c r="I15" s="16">
        <v>6.6695842783863632E-2</v>
      </c>
      <c r="J15" s="16">
        <v>5.7821364293166512E-2</v>
      </c>
      <c r="K15" s="16">
        <v>5.2626526303175027E-2</v>
      </c>
      <c r="L15" s="16">
        <v>4.8212798574523562E-2</v>
      </c>
      <c r="M15" s="16">
        <v>4.4882851143959047E-2</v>
      </c>
      <c r="N15" s="16">
        <v>4.0986981742490311E-2</v>
      </c>
      <c r="O15" s="16"/>
      <c r="P15" s="16">
        <v>5.7678076196879216E-2</v>
      </c>
      <c r="Q15" s="16">
        <v>3.8748948247485718E-2</v>
      </c>
      <c r="R15" s="16">
        <v>3.8875241890976159E-2</v>
      </c>
    </row>
    <row r="16" spans="1:22" ht="88.5" customHeight="1" x14ac:dyDescent="0.25">
      <c r="A16" s="1" t="s">
        <v>8</v>
      </c>
      <c r="B16" s="7"/>
      <c r="C16" s="7"/>
      <c r="D16" s="7"/>
      <c r="E16" s="7"/>
      <c r="F16" s="7"/>
      <c r="G16" s="7"/>
      <c r="H16" s="7"/>
      <c r="I16" s="8"/>
      <c r="J16" s="8"/>
      <c r="K16" s="8"/>
    </row>
    <row r="17" spans="1:11" x14ac:dyDescent="0.25">
      <c r="A17" s="3"/>
      <c r="B17" s="7"/>
      <c r="C17" s="7"/>
      <c r="D17" s="7"/>
      <c r="E17" s="7"/>
      <c r="F17" s="7"/>
      <c r="G17" s="7"/>
      <c r="H17" s="7"/>
      <c r="I17" s="8"/>
      <c r="J17" s="8"/>
      <c r="K17" s="8"/>
    </row>
    <row r="18" spans="1:1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x14ac:dyDescent="0.25">
      <c r="A19" s="2" t="s">
        <v>4</v>
      </c>
      <c r="B19" s="7"/>
      <c r="C19" s="7"/>
      <c r="D19" s="8"/>
      <c r="E19" s="8"/>
      <c r="F19" s="8"/>
      <c r="G19" s="8"/>
      <c r="H19" s="8"/>
      <c r="I19" s="8"/>
      <c r="J19" s="8"/>
      <c r="K19" s="8"/>
    </row>
    <row r="20" spans="1:11" x14ac:dyDescent="0.25">
      <c r="A20" s="7" t="s">
        <v>29</v>
      </c>
      <c r="C20" s="7"/>
      <c r="D20" s="8"/>
      <c r="E20" s="8"/>
      <c r="F20" s="8"/>
      <c r="G20" s="8"/>
      <c r="H20" s="8"/>
      <c r="I20" s="8"/>
      <c r="J20" s="8"/>
      <c r="K20" s="8"/>
    </row>
    <row r="21" spans="1:11" x14ac:dyDescent="0.25">
      <c r="A21" s="7" t="s">
        <v>28</v>
      </c>
      <c r="B21" s="7"/>
      <c r="D21" s="8"/>
      <c r="E21" s="8"/>
      <c r="F21" s="8"/>
      <c r="G21" s="8"/>
      <c r="H21" s="8"/>
      <c r="I21" s="8"/>
      <c r="J21" s="8"/>
      <c r="K21" s="8"/>
    </row>
    <row r="22" spans="1:11" x14ac:dyDescent="0.25">
      <c r="A22" t="s">
        <v>27</v>
      </c>
      <c r="B22" s="7"/>
      <c r="C22" s="7"/>
      <c r="D22" s="8"/>
      <c r="E22" s="8"/>
      <c r="F22" s="8"/>
      <c r="G22" s="8"/>
      <c r="H22" s="8"/>
      <c r="I22" s="8"/>
      <c r="J22" s="8"/>
      <c r="K22" s="8"/>
    </row>
    <row r="23" spans="1:11" x14ac:dyDescent="0.25"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1" x14ac:dyDescent="0.25">
      <c r="A24" t="s">
        <v>30</v>
      </c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x14ac:dyDescent="0.25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</row>
  </sheetData>
  <mergeCells count="4">
    <mergeCell ref="B5:B6"/>
    <mergeCell ref="B8:B9"/>
    <mergeCell ref="B11:B12"/>
    <mergeCell ref="B14:B15"/>
  </mergeCells>
  <phoneticPr fontId="7" type="noConversion"/>
  <pageMargins left="0.7" right="0.7" top="0.75" bottom="0.75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60"/>
  <sheetViews>
    <sheetView tabSelected="1" topLeftCell="D1" zoomScale="90" zoomScaleNormal="90" workbookViewId="0">
      <selection activeCell="O15" sqref="O15"/>
    </sheetView>
  </sheetViews>
  <sheetFormatPr defaultColWidth="8.85546875" defaultRowHeight="15" x14ac:dyDescent="0.25"/>
  <cols>
    <col min="1" max="1" width="64.42578125" customWidth="1"/>
    <col min="2" max="2" width="23.85546875" customWidth="1"/>
    <col min="3" max="3" width="15.42578125" customWidth="1"/>
    <col min="4" max="4" width="17.140625" customWidth="1"/>
    <col min="5" max="5" width="18.7109375" customWidth="1"/>
    <col min="6" max="6" width="8.85546875" customWidth="1"/>
    <col min="7" max="7" width="10.5703125" customWidth="1"/>
    <col min="8" max="8" width="13.28515625" customWidth="1"/>
    <col min="9" max="9" width="13.140625" customWidth="1"/>
    <col min="11" max="11" width="11.28515625" customWidth="1"/>
    <col min="12" max="12" width="12.42578125" customWidth="1"/>
    <col min="13" max="13" width="12" customWidth="1"/>
    <col min="16" max="16" width="14.42578125" customWidth="1"/>
    <col min="17" max="17" width="13.85546875" customWidth="1"/>
    <col min="20" max="23" width="0" hidden="1" customWidth="1"/>
  </cols>
  <sheetData>
    <row r="1" spans="1:31" x14ac:dyDescent="0.25">
      <c r="A1" s="4" t="s">
        <v>5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x14ac:dyDescent="0.25">
      <c r="A2" s="2"/>
      <c r="B2" s="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x14ac:dyDescent="0.25">
      <c r="A3" s="2"/>
      <c r="B3" s="6"/>
      <c r="C3" s="6"/>
      <c r="D3" s="6" t="s">
        <v>18</v>
      </c>
      <c r="E3" s="6" t="s">
        <v>19</v>
      </c>
      <c r="F3" s="6">
        <v>2023</v>
      </c>
      <c r="G3" s="7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  <c r="M3" s="8" t="s">
        <v>17</v>
      </c>
      <c r="N3" s="8"/>
      <c r="O3" s="8"/>
      <c r="P3" s="6">
        <v>2013</v>
      </c>
      <c r="Q3" s="7" t="s">
        <v>20</v>
      </c>
      <c r="R3" s="7" t="s">
        <v>21</v>
      </c>
      <c r="S3" s="8"/>
      <c r="T3" s="8"/>
      <c r="U3" s="8"/>
      <c r="V3" s="8"/>
      <c r="W3" s="8"/>
      <c r="X3" s="8"/>
      <c r="Y3" s="8"/>
      <c r="Z3" s="8"/>
      <c r="AA3" s="8"/>
    </row>
    <row r="4" spans="1:31" x14ac:dyDescent="0.25">
      <c r="A4" s="2"/>
      <c r="B4" s="9" t="s">
        <v>0</v>
      </c>
      <c r="C4" s="9"/>
      <c r="D4" s="12"/>
      <c r="E4" s="12"/>
      <c r="F4" s="11"/>
      <c r="G4" s="12"/>
      <c r="H4" s="12"/>
      <c r="I4" s="11"/>
      <c r="J4" s="14"/>
      <c r="K4" s="14"/>
      <c r="L4" s="14"/>
      <c r="M4" s="14"/>
      <c r="N4" s="8"/>
      <c r="O4" s="8"/>
      <c r="P4" s="10"/>
      <c r="Q4" s="10"/>
      <c r="R4" s="10"/>
      <c r="S4" s="8"/>
      <c r="T4" s="8"/>
      <c r="U4" s="8"/>
      <c r="V4" s="8"/>
      <c r="W4" s="8"/>
      <c r="X4" s="8"/>
      <c r="Y4" s="8"/>
      <c r="Z4" s="8"/>
      <c r="AA4" s="8"/>
    </row>
    <row r="5" spans="1:31" x14ac:dyDescent="0.25">
      <c r="A5" s="2"/>
      <c r="B5" s="9"/>
      <c r="C5" s="9" t="s">
        <v>6</v>
      </c>
      <c r="D5" s="13">
        <v>7229</v>
      </c>
      <c r="E5" s="12">
        <v>54083</v>
      </c>
      <c r="F5" s="10">
        <f>D5/E5</f>
        <v>0.13366492243403658</v>
      </c>
      <c r="G5" s="12">
        <v>2097</v>
      </c>
      <c r="H5" s="12">
        <v>5622.6771203760227</v>
      </c>
      <c r="I5" s="11">
        <f t="shared" ref="I5:I15" si="0">SQRT(G5^2-(F5^2*H5^2))/E5</f>
        <v>3.61979962383999E-2</v>
      </c>
      <c r="J5" s="14">
        <f t="shared" ref="J5:J15" si="1">I5/1.645</f>
        <v>2.2004860935197507E-2</v>
      </c>
      <c r="K5" s="15">
        <f t="shared" ref="K5:K15" si="2">J5/F5</f>
        <v>0.16462704301539449</v>
      </c>
      <c r="L5" s="14">
        <f t="shared" ref="L5:L15" si="3">F5+I5</f>
        <v>0.16986291867243647</v>
      </c>
      <c r="M5" s="14">
        <f t="shared" ref="M5:M15" si="4">F5-I5</f>
        <v>9.7466926195636683E-2</v>
      </c>
      <c r="N5" s="8"/>
      <c r="O5" s="8"/>
      <c r="P5" s="10">
        <v>0.1618548149733765</v>
      </c>
      <c r="Q5" s="10">
        <v>0.19092818219509877</v>
      </c>
      <c r="R5" s="10">
        <v>0.13278144775165424</v>
      </c>
      <c r="S5" s="8"/>
      <c r="T5" s="8"/>
      <c r="U5" s="8"/>
      <c r="V5" s="8"/>
      <c r="W5" s="8"/>
      <c r="X5" s="8"/>
      <c r="Y5" s="8"/>
      <c r="Z5" s="8"/>
      <c r="AA5" s="8"/>
    </row>
    <row r="6" spans="1:31" x14ac:dyDescent="0.25">
      <c r="A6" s="2"/>
      <c r="B6" s="9"/>
      <c r="C6" s="9" t="s">
        <v>7</v>
      </c>
      <c r="D6" s="13">
        <v>24333</v>
      </c>
      <c r="E6" s="12">
        <v>714224</v>
      </c>
      <c r="F6" s="10">
        <f t="shared" ref="F6:F12" si="5">D6/E6</f>
        <v>3.4069143574004791E-2</v>
      </c>
      <c r="G6" s="12">
        <v>3660</v>
      </c>
      <c r="H6" s="12">
        <v>9294.0006993759143</v>
      </c>
      <c r="I6" s="11">
        <f t="shared" si="0"/>
        <v>5.1052296613364372E-3</v>
      </c>
      <c r="J6" s="14">
        <f t="shared" si="1"/>
        <v>3.1034830768002656E-3</v>
      </c>
      <c r="K6" s="14">
        <f t="shared" si="2"/>
        <v>9.1093662805432671E-2</v>
      </c>
      <c r="L6" s="14">
        <f t="shared" si="3"/>
        <v>3.9174373235341231E-2</v>
      </c>
      <c r="M6" s="14">
        <f t="shared" si="4"/>
        <v>2.8963913912668355E-2</v>
      </c>
      <c r="N6" s="8"/>
      <c r="O6" s="8"/>
      <c r="P6" s="10">
        <v>5.379517421862548E-2</v>
      </c>
      <c r="Q6" s="10">
        <v>5.8562940161913275E-2</v>
      </c>
      <c r="R6" s="10">
        <v>4.9027408275337685E-2</v>
      </c>
      <c r="S6" s="8"/>
      <c r="T6" s="8"/>
      <c r="U6" s="8"/>
      <c r="V6" s="8"/>
      <c r="W6" s="8"/>
      <c r="X6" s="8"/>
      <c r="Y6" s="8"/>
      <c r="Z6" s="8"/>
      <c r="AA6" s="8"/>
    </row>
    <row r="7" spans="1:31" x14ac:dyDescent="0.25">
      <c r="A7" s="2"/>
      <c r="B7" s="9" t="s">
        <v>1</v>
      </c>
      <c r="C7" s="9"/>
      <c r="D7" s="12"/>
      <c r="E7" s="12"/>
      <c r="F7" s="10"/>
      <c r="G7" s="12"/>
      <c r="H7" s="12"/>
      <c r="I7" s="11"/>
      <c r="J7" s="14"/>
      <c r="K7" s="14"/>
      <c r="L7" s="14"/>
      <c r="M7" s="14"/>
      <c r="N7" s="8"/>
      <c r="O7" s="8"/>
      <c r="P7" s="10"/>
      <c r="Q7" s="10"/>
      <c r="R7" s="10"/>
      <c r="S7" s="8"/>
      <c r="T7" s="8"/>
      <c r="U7" s="8"/>
      <c r="V7" s="8"/>
      <c r="W7" s="8"/>
      <c r="X7" s="8"/>
      <c r="Y7" s="8"/>
      <c r="Z7" s="8"/>
      <c r="AA7" s="8"/>
    </row>
    <row r="8" spans="1:31" x14ac:dyDescent="0.25">
      <c r="A8" s="2"/>
      <c r="B8" s="9"/>
      <c r="C8" s="9" t="s">
        <v>6</v>
      </c>
      <c r="D8" s="13">
        <v>10572</v>
      </c>
      <c r="E8" s="12">
        <v>98895</v>
      </c>
      <c r="F8" s="10">
        <f t="shared" si="5"/>
        <v>0.10690125891096618</v>
      </c>
      <c r="G8" s="12">
        <v>2339</v>
      </c>
      <c r="H8" s="12">
        <v>7110.7064346659681</v>
      </c>
      <c r="I8" s="11">
        <f t="shared" si="0"/>
        <v>2.2367520286132665E-2</v>
      </c>
      <c r="J8" s="14">
        <f t="shared" si="1"/>
        <v>1.359727676968551E-2</v>
      </c>
      <c r="K8" s="17">
        <f t="shared" si="2"/>
        <v>0.1271947300546773</v>
      </c>
      <c r="L8" s="14">
        <f t="shared" si="3"/>
        <v>0.12926877919709884</v>
      </c>
      <c r="M8" s="14">
        <f t="shared" si="4"/>
        <v>8.4533738624833515E-2</v>
      </c>
      <c r="N8" s="8"/>
      <c r="O8" s="8"/>
      <c r="P8" s="10">
        <v>0.13831927374773892</v>
      </c>
      <c r="Q8" s="10">
        <v>0.16200881713201531</v>
      </c>
      <c r="R8" s="10">
        <v>0.11462973036346252</v>
      </c>
      <c r="S8" s="8"/>
      <c r="T8" s="8"/>
      <c r="U8" s="8"/>
      <c r="V8" s="8"/>
      <c r="W8" s="8"/>
      <c r="X8" s="8"/>
      <c r="Y8" s="8"/>
      <c r="Z8" s="8"/>
      <c r="AA8" s="8"/>
    </row>
    <row r="9" spans="1:31" x14ac:dyDescent="0.25">
      <c r="A9" s="2"/>
      <c r="B9" s="9"/>
      <c r="C9" s="9" t="s">
        <v>7</v>
      </c>
      <c r="D9" s="13">
        <v>42341</v>
      </c>
      <c r="E9" s="12">
        <v>1257587</v>
      </c>
      <c r="F9" s="10">
        <f t="shared" si="5"/>
        <v>3.3668446000157441E-2</v>
      </c>
      <c r="G9" s="12">
        <v>4756</v>
      </c>
      <c r="H9" s="12">
        <v>13964.828534572131</v>
      </c>
      <c r="I9" s="11">
        <f t="shared" si="0"/>
        <v>3.7633201003653234E-3</v>
      </c>
      <c r="J9" s="14">
        <f t="shared" si="1"/>
        <v>2.2877325838087073E-3</v>
      </c>
      <c r="K9" s="14">
        <f t="shared" si="2"/>
        <v>6.7948861785839754E-2</v>
      </c>
      <c r="L9" s="14">
        <f t="shared" si="3"/>
        <v>3.7431766100522762E-2</v>
      </c>
      <c r="M9" s="14">
        <f t="shared" si="4"/>
        <v>2.9905125899792117E-2</v>
      </c>
      <c r="N9" s="8"/>
      <c r="O9" s="8"/>
      <c r="P9" s="10">
        <v>5.7087623908387938E-2</v>
      </c>
      <c r="Q9" s="10">
        <v>6.1299553533479455E-2</v>
      </c>
      <c r="R9" s="10">
        <v>5.2875694283296422E-2</v>
      </c>
      <c r="S9" s="8"/>
      <c r="T9" s="8"/>
      <c r="U9" s="8"/>
      <c r="V9" s="8"/>
      <c r="W9" s="8"/>
      <c r="X9" s="8"/>
      <c r="Y9" s="8"/>
      <c r="Z9" s="8"/>
      <c r="AA9" s="8"/>
    </row>
    <row r="10" spans="1:31" x14ac:dyDescent="0.25">
      <c r="A10" s="2"/>
      <c r="B10" s="9" t="s">
        <v>2</v>
      </c>
      <c r="C10" s="9"/>
      <c r="D10" s="12"/>
      <c r="E10" s="12"/>
      <c r="F10" s="10"/>
      <c r="G10" s="12"/>
      <c r="H10" s="12"/>
      <c r="I10" s="11"/>
      <c r="J10" s="14"/>
      <c r="K10" s="14"/>
      <c r="L10" s="14"/>
      <c r="M10" s="14"/>
      <c r="N10" s="8"/>
      <c r="O10" s="8"/>
      <c r="P10" s="10"/>
      <c r="Q10" s="10"/>
      <c r="R10" s="10"/>
      <c r="S10" s="8"/>
      <c r="T10" s="8"/>
      <c r="U10" s="8"/>
      <c r="V10" s="8"/>
      <c r="W10" s="8"/>
      <c r="X10" s="8"/>
      <c r="Y10" s="8"/>
      <c r="Z10" s="8"/>
      <c r="AA10" s="8"/>
    </row>
    <row r="11" spans="1:31" x14ac:dyDescent="0.25">
      <c r="A11" s="2"/>
      <c r="B11" s="9"/>
      <c r="C11" s="9" t="s">
        <v>6</v>
      </c>
      <c r="D11" s="13">
        <v>98411</v>
      </c>
      <c r="E11" s="12">
        <v>1084511</v>
      </c>
      <c r="F11" s="10">
        <f t="shared" si="5"/>
        <v>9.0742279239214726E-2</v>
      </c>
      <c r="G11" s="12">
        <v>6934</v>
      </c>
      <c r="H11" s="12">
        <v>22989.626291003515</v>
      </c>
      <c r="I11" s="11">
        <f t="shared" si="0"/>
        <v>6.0974450777096043E-3</v>
      </c>
      <c r="J11" s="14">
        <f t="shared" si="1"/>
        <v>3.7066535426806104E-3</v>
      </c>
      <c r="K11" s="14">
        <f t="shared" si="2"/>
        <v>4.0848142384754663E-2</v>
      </c>
      <c r="L11" s="14">
        <f t="shared" si="3"/>
        <v>9.6839724316924336E-2</v>
      </c>
      <c r="M11" s="14">
        <f t="shared" si="4"/>
        <v>8.4644834161505117E-2</v>
      </c>
      <c r="N11" s="8"/>
      <c r="O11" s="8"/>
      <c r="P11" s="10">
        <v>0.14350753189601437</v>
      </c>
      <c r="Q11" s="10">
        <v>0.15070451284084194</v>
      </c>
      <c r="R11" s="10">
        <v>0.1363105509511868</v>
      </c>
      <c r="S11" s="8"/>
      <c r="T11" s="8"/>
      <c r="U11" s="8"/>
      <c r="V11" s="8"/>
      <c r="W11" s="8"/>
      <c r="X11" s="8"/>
      <c r="Y11" s="8"/>
      <c r="Z11" s="8"/>
      <c r="AA11" s="8"/>
    </row>
    <row r="12" spans="1:31" x14ac:dyDescent="0.25">
      <c r="A12" s="2"/>
      <c r="B12" s="9"/>
      <c r="C12" s="9" t="s">
        <v>7</v>
      </c>
      <c r="D12" s="13">
        <v>535039</v>
      </c>
      <c r="E12" s="12">
        <v>13458706</v>
      </c>
      <c r="F12" s="10">
        <f t="shared" si="5"/>
        <v>3.975411900668608E-2</v>
      </c>
      <c r="G12" s="12">
        <v>15918</v>
      </c>
      <c r="H12" s="12">
        <v>41570.378011271438</v>
      </c>
      <c r="I12" s="11">
        <f t="shared" si="0"/>
        <v>1.1763376153012442E-3</v>
      </c>
      <c r="J12" s="14">
        <f t="shared" si="1"/>
        <v>7.1509885428647061E-4</v>
      </c>
      <c r="K12" s="14">
        <f t="shared" si="2"/>
        <v>1.7988044312243497E-2</v>
      </c>
      <c r="L12" s="14">
        <f t="shared" si="3"/>
        <v>4.0930456621987327E-2</v>
      </c>
      <c r="M12" s="14">
        <f t="shared" si="4"/>
        <v>3.8577781391384833E-2</v>
      </c>
      <c r="N12" s="8"/>
      <c r="O12" s="8"/>
      <c r="P12" s="10">
        <v>6.4856317595275062E-2</v>
      </c>
      <c r="Q12" s="10">
        <v>6.6159651055785806E-2</v>
      </c>
      <c r="R12" s="10">
        <v>6.3552984134764318E-2</v>
      </c>
      <c r="S12" s="8"/>
      <c r="T12" s="8"/>
      <c r="U12" s="8"/>
      <c r="V12" s="8"/>
      <c r="W12" s="8"/>
      <c r="X12" s="8"/>
      <c r="Y12" s="8"/>
      <c r="Z12" s="8"/>
      <c r="AA12" s="8"/>
    </row>
    <row r="13" spans="1:31" x14ac:dyDescent="0.25">
      <c r="A13" s="2"/>
      <c r="B13" s="9" t="s">
        <v>3</v>
      </c>
      <c r="C13" s="9"/>
      <c r="D13" s="12"/>
      <c r="E13" s="12"/>
      <c r="F13" s="10"/>
      <c r="G13" s="12"/>
      <c r="H13" s="12"/>
      <c r="I13" s="11"/>
      <c r="J13" s="14"/>
      <c r="K13" s="14"/>
      <c r="L13" s="14"/>
      <c r="M13" s="14"/>
      <c r="N13" s="8"/>
      <c r="O13" s="8"/>
      <c r="P13" s="10"/>
      <c r="Q13" s="10"/>
      <c r="R13" s="10"/>
      <c r="S13" s="8"/>
      <c r="T13" s="8"/>
      <c r="U13" s="8"/>
      <c r="V13" s="8"/>
      <c r="W13" s="8"/>
      <c r="X13" s="8"/>
      <c r="Y13" s="8"/>
      <c r="Z13" s="8"/>
      <c r="AA13" s="8"/>
    </row>
    <row r="14" spans="1:31" x14ac:dyDescent="0.25">
      <c r="A14" s="3"/>
      <c r="B14" s="7"/>
      <c r="C14" s="9" t="s">
        <v>6</v>
      </c>
      <c r="D14" s="12">
        <v>1051447</v>
      </c>
      <c r="E14" s="12">
        <v>11299865</v>
      </c>
      <c r="F14" s="10">
        <f>D14/E14</f>
        <v>9.304951873318841E-2</v>
      </c>
      <c r="G14" s="12">
        <v>20731</v>
      </c>
      <c r="H14" s="12">
        <v>72093.000110967783</v>
      </c>
      <c r="I14" s="11">
        <f t="shared" si="0"/>
        <v>1.7359199488563375E-3</v>
      </c>
      <c r="J14" s="14">
        <f t="shared" si="1"/>
        <v>1.0552704856269528E-3</v>
      </c>
      <c r="K14" s="14">
        <f t="shared" si="2"/>
        <v>1.1340955869453245E-2</v>
      </c>
      <c r="L14" s="14">
        <f t="shared" si="3"/>
        <v>9.4785438682044754E-2</v>
      </c>
      <c r="M14" s="14">
        <f t="shared" si="4"/>
        <v>9.1313598784332067E-2</v>
      </c>
      <c r="N14" s="8"/>
      <c r="O14" s="8"/>
      <c r="P14" s="10">
        <v>0.17334763491212207</v>
      </c>
      <c r="Q14" s="10">
        <v>0.17600056281802931</v>
      </c>
      <c r="R14" s="10">
        <v>0.17069470700621484</v>
      </c>
      <c r="S14" s="8"/>
      <c r="T14" s="8"/>
      <c r="U14" s="8"/>
      <c r="V14" s="8"/>
      <c r="W14" s="8"/>
      <c r="X14" s="8"/>
      <c r="Y14" s="8"/>
      <c r="Z14" s="8"/>
      <c r="AA14" s="8"/>
    </row>
    <row r="15" spans="1:31" x14ac:dyDescent="0.25">
      <c r="A15" s="3"/>
      <c r="B15" s="7"/>
      <c r="C15" s="9" t="s">
        <v>7</v>
      </c>
      <c r="D15" s="12">
        <v>5698272</v>
      </c>
      <c r="E15" s="12">
        <v>146578432</v>
      </c>
      <c r="F15" s="10">
        <f>D15/E15</f>
        <v>3.8875241890976159E-2</v>
      </c>
      <c r="G15" s="12">
        <v>54938</v>
      </c>
      <c r="H15" s="12">
        <v>152215.93142637864</v>
      </c>
      <c r="I15" s="11">
        <f t="shared" si="0"/>
        <v>3.7262224112954924E-4</v>
      </c>
      <c r="J15" s="14">
        <f t="shared" si="1"/>
        <v>2.2651807971401169E-4</v>
      </c>
      <c r="K15" s="14">
        <f t="shared" si="2"/>
        <v>5.8267953765862423E-3</v>
      </c>
      <c r="L15" s="14">
        <f t="shared" si="3"/>
        <v>3.9247864132105709E-2</v>
      </c>
      <c r="M15" s="14">
        <f t="shared" si="4"/>
        <v>3.8502619649846609E-2</v>
      </c>
      <c r="N15" s="8"/>
      <c r="O15" s="8"/>
      <c r="P15" s="10">
        <v>7.7892433045359172E-2</v>
      </c>
      <c r="Q15" s="10">
        <v>7.8298839405919488E-2</v>
      </c>
      <c r="R15" s="10">
        <v>7.7486026684798856E-2</v>
      </c>
      <c r="S15" s="8"/>
      <c r="T15" s="8"/>
      <c r="U15" s="8"/>
      <c r="V15" s="8"/>
      <c r="W15" s="8"/>
      <c r="X15" s="8"/>
      <c r="Y15" s="8"/>
      <c r="Z15" s="8"/>
      <c r="AA15" s="8"/>
    </row>
    <row r="16" spans="1:31" ht="88.5" customHeight="1" x14ac:dyDescent="0.25">
      <c r="A16" s="1" t="s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spans="1:31" x14ac:dyDescent="0.25">
      <c r="A17" s="3"/>
      <c r="B17" s="7"/>
      <c r="C17" s="7"/>
      <c r="D17" s="6" t="s">
        <v>23</v>
      </c>
      <c r="E17" s="6" t="s">
        <v>24</v>
      </c>
      <c r="F17" s="7"/>
      <c r="G17" s="7"/>
      <c r="H17" s="7"/>
      <c r="I17" s="7"/>
      <c r="J17" s="7"/>
      <c r="K17" s="7"/>
      <c r="L17" s="7"/>
      <c r="M17" s="7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spans="1:31" x14ac:dyDescent="0.25">
      <c r="B18" s="8"/>
      <c r="C18" s="18" t="s">
        <v>25</v>
      </c>
      <c r="D18" s="19">
        <v>0.60291846819024086</v>
      </c>
      <c r="E18" s="19">
        <v>0.8249876830207451</v>
      </c>
      <c r="F18" s="8"/>
      <c r="G18" s="8"/>
      <c r="H18" s="8"/>
      <c r="I18" s="8"/>
      <c r="J18" s="8"/>
      <c r="K18" s="8"/>
      <c r="L18" s="7"/>
      <c r="M18" s="7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x14ac:dyDescent="0.25">
      <c r="A19" s="2" t="s">
        <v>4</v>
      </c>
      <c r="B19" s="7"/>
      <c r="C19" s="21" t="s">
        <v>31</v>
      </c>
      <c r="D19" s="22">
        <v>0.8663350775659634</v>
      </c>
      <c r="E19" s="19">
        <v>0.96593085642599519</v>
      </c>
      <c r="F19" s="8"/>
      <c r="G19" s="8"/>
      <c r="I19" t="s">
        <v>6</v>
      </c>
      <c r="J19" t="s">
        <v>7</v>
      </c>
      <c r="K19" s="8"/>
      <c r="L19" s="7"/>
      <c r="M19" s="7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x14ac:dyDescent="0.25">
      <c r="A20" s="3"/>
      <c r="B20" s="7"/>
      <c r="C20" s="21"/>
      <c r="D20" s="7"/>
      <c r="E20" s="8"/>
      <c r="F20" s="8"/>
      <c r="G20" s="8"/>
      <c r="H20" t="s">
        <v>0</v>
      </c>
      <c r="I20" s="5">
        <f>F5</f>
        <v>0.13366492243403658</v>
      </c>
      <c r="J20" s="5">
        <f>F6</f>
        <v>3.4069143574004791E-2</v>
      </c>
      <c r="K20" s="8"/>
      <c r="L20" s="7"/>
      <c r="M20" s="7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x14ac:dyDescent="0.25">
      <c r="A21" s="3"/>
      <c r="B21" s="7" t="s">
        <v>9</v>
      </c>
      <c r="C21" s="7"/>
      <c r="D21" s="7"/>
      <c r="E21" s="8"/>
      <c r="F21" s="8"/>
      <c r="G21" s="8"/>
      <c r="H21" t="s">
        <v>22</v>
      </c>
      <c r="I21" s="5">
        <f>F8</f>
        <v>0.10690125891096618</v>
      </c>
      <c r="J21" s="5">
        <f>F9</f>
        <v>3.3668446000157441E-2</v>
      </c>
      <c r="K21" s="8"/>
      <c r="L21" s="7"/>
      <c r="M21" s="7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x14ac:dyDescent="0.25">
      <c r="A22" s="3"/>
      <c r="B22" s="7"/>
      <c r="C22" s="7" t="s">
        <v>10</v>
      </c>
      <c r="D22" s="7"/>
      <c r="E22" s="8"/>
      <c r="F22" s="8"/>
      <c r="G22" s="8"/>
      <c r="H22" t="s">
        <v>2</v>
      </c>
      <c r="I22" s="5">
        <f>F11</f>
        <v>9.0742279239214726E-2</v>
      </c>
      <c r="J22" s="5">
        <f>F12</f>
        <v>3.975411900668608E-2</v>
      </c>
      <c r="K22" s="8"/>
      <c r="L22" s="7"/>
      <c r="M22" s="7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spans="1:31" x14ac:dyDescent="0.25">
      <c r="B23" s="7"/>
      <c r="C23" s="7"/>
      <c r="D23" s="7"/>
      <c r="E23" s="8"/>
      <c r="F23" s="8"/>
      <c r="G23" s="8"/>
      <c r="H23" t="s">
        <v>3</v>
      </c>
      <c r="I23" s="5">
        <f>F14</f>
        <v>9.304951873318841E-2</v>
      </c>
      <c r="J23" s="5">
        <f>F15</f>
        <v>3.8875241890976159E-2</v>
      </c>
      <c r="K23" s="8"/>
      <c r="L23" s="7"/>
      <c r="M23" s="7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spans="1:3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spans="1:31" x14ac:dyDescent="0.2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1:31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</row>
    <row r="28" spans="1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spans="1:3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spans="1:3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spans="1:3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spans="1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spans="2:3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spans="2:3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spans="2:3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spans="2:3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</row>
    <row r="37" spans="2:3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</row>
    <row r="38" spans="2:3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</row>
    <row r="39" spans="2:3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</row>
    <row r="40" spans="2:3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</row>
    <row r="41" spans="2:3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</row>
    <row r="42" spans="2:3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</row>
    <row r="43" spans="2:3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</row>
    <row r="44" spans="2:3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</row>
    <row r="45" spans="2:3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spans="2:3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spans="2:3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</row>
    <row r="48" spans="2:3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</row>
    <row r="49" spans="2:3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spans="2:3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</row>
    <row r="51" spans="2:3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</row>
    <row r="52" spans="2:3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</row>
    <row r="53" spans="2:3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</row>
    <row r="54" spans="2:3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</row>
    <row r="55" spans="2:3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</row>
    <row r="56" spans="2:3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</row>
    <row r="57" spans="2:3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</row>
    <row r="58" spans="2:3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</row>
    <row r="59" spans="2:3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</row>
    <row r="60" spans="2:3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</row>
    <row r="61" spans="2:31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</row>
    <row r="62" spans="2:31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</row>
    <row r="63" spans="2:31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</row>
    <row r="64" spans="2:3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</row>
    <row r="65" spans="2:31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</row>
    <row r="66" spans="2:31" x14ac:dyDescent="0.2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</row>
    <row r="67" spans="2:31" x14ac:dyDescent="0.2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</row>
    <row r="68" spans="2:31" x14ac:dyDescent="0.2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</row>
    <row r="69" spans="2:31" x14ac:dyDescent="0.2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</row>
    <row r="70" spans="2:31" x14ac:dyDescent="0.2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</row>
    <row r="71" spans="2:31" x14ac:dyDescent="0.2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</row>
    <row r="72" spans="2:31" x14ac:dyDescent="0.2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</row>
    <row r="73" spans="2:31" x14ac:dyDescent="0.2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</row>
    <row r="74" spans="2:31" x14ac:dyDescent="0.2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</row>
    <row r="75" spans="2:31" x14ac:dyDescent="0.2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</row>
    <row r="76" spans="2:31" x14ac:dyDescent="0.2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</row>
    <row r="77" spans="2:31" x14ac:dyDescent="0.2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</row>
    <row r="78" spans="2:31" x14ac:dyDescent="0.2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</row>
    <row r="79" spans="2:31" x14ac:dyDescent="0.2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</row>
    <row r="80" spans="2:31" x14ac:dyDescent="0.2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</row>
    <row r="81" spans="2:31" x14ac:dyDescent="0.2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</row>
    <row r="82" spans="2:31" x14ac:dyDescent="0.2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</row>
    <row r="83" spans="2:31" x14ac:dyDescent="0.2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</row>
    <row r="84" spans="2:31" x14ac:dyDescent="0.2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</row>
    <row r="85" spans="2:31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</row>
    <row r="86" spans="2:31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2:31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spans="2:31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2:31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spans="2:31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2:31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spans="2:31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spans="2:31" x14ac:dyDescent="0.2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spans="2:31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spans="2:31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spans="2:31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spans="2:31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spans="2:31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spans="2:31" x14ac:dyDescent="0.2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spans="2:31" x14ac:dyDescent="0.2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spans="2:31" x14ac:dyDescent="0.2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spans="2:3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spans="2:31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spans="2:31" x14ac:dyDescent="0.2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spans="2:31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spans="2:31" x14ac:dyDescent="0.2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2:31" x14ac:dyDescent="0.2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spans="2:31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</row>
    <row r="109" spans="2:31" x14ac:dyDescent="0.2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spans="2:31" x14ac:dyDescent="0.2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</row>
    <row r="111" spans="2:31" x14ac:dyDescent="0.2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</row>
    <row r="112" spans="2:31" x14ac:dyDescent="0.25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</row>
    <row r="113" spans="2:31" x14ac:dyDescent="0.2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</row>
    <row r="114" spans="2:31" x14ac:dyDescent="0.2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</row>
    <row r="115" spans="2:31" x14ac:dyDescent="0.2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</row>
    <row r="116" spans="2:31" x14ac:dyDescent="0.2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spans="2:31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spans="2:31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spans="2:31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0" spans="2:31" x14ac:dyDescent="0.2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spans="2:31" x14ac:dyDescent="0.2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</row>
    <row r="122" spans="2:31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</row>
    <row r="123" spans="2:31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spans="2:31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spans="2:31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spans="2:31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spans="2:31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spans="2:31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spans="2:31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spans="2:31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spans="2:31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spans="2:31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spans="2:31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pans="2:31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spans="2:31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spans="2:31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2:31" x14ac:dyDescent="0.2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spans="2:31" x14ac:dyDescent="0.2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spans="2:31" x14ac:dyDescent="0.25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spans="2:31" x14ac:dyDescent="0.25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spans="2:31" x14ac:dyDescent="0.25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spans="2:31" x14ac:dyDescent="0.2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spans="2:31" x14ac:dyDescent="0.2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spans="2:31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spans="2:31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spans="2:31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spans="2:31" x14ac:dyDescent="0.2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spans="2:31" x14ac:dyDescent="0.2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spans="2:31" x14ac:dyDescent="0.2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spans="2:31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spans="2:31" x14ac:dyDescent="0.25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spans="2:31" x14ac:dyDescent="0.25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spans="2:31" x14ac:dyDescent="0.2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spans="2:31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spans="2:31" x14ac:dyDescent="0.25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spans="2:31" x14ac:dyDescent="0.25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spans="2:31" x14ac:dyDescent="0.25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spans="2:31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spans="2:31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  <row r="160" spans="2:31" x14ac:dyDescent="0.25">
      <c r="B160" s="8"/>
      <c r="C160" s="8"/>
      <c r="D160" s="8"/>
      <c r="E160" s="8"/>
    </row>
  </sheetData>
  <phoneticPr fontId="7" type="noConversion"/>
  <pageMargins left="0.7" right="0.7" top="0.75" bottom="0.75" header="0.3" footer="0.3"/>
  <pageSetup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5D1B6-CE15-43E3-9AE5-31D2C1CB999E}">
  <dimension ref="A1:AE160"/>
  <sheetViews>
    <sheetView topLeftCell="A7" zoomScale="90" zoomScaleNormal="90" workbookViewId="0">
      <selection activeCell="C18" sqref="C18"/>
    </sheetView>
  </sheetViews>
  <sheetFormatPr defaultColWidth="8.85546875" defaultRowHeight="15" x14ac:dyDescent="0.25"/>
  <cols>
    <col min="1" max="1" width="64.42578125" customWidth="1"/>
    <col min="2" max="2" width="23.85546875" customWidth="1"/>
    <col min="3" max="3" width="15.42578125" customWidth="1"/>
    <col min="4" max="4" width="17.140625" customWidth="1"/>
    <col min="5" max="5" width="18.7109375" customWidth="1"/>
    <col min="6" max="6" width="8.85546875" customWidth="1"/>
    <col min="7" max="7" width="10.5703125" customWidth="1"/>
    <col min="8" max="8" width="13.28515625" customWidth="1"/>
    <col min="9" max="9" width="13.140625" customWidth="1"/>
    <col min="11" max="11" width="11.28515625" customWidth="1"/>
    <col min="12" max="12" width="12.42578125" customWidth="1"/>
    <col min="13" max="13" width="12" customWidth="1"/>
    <col min="16" max="16" width="14.42578125" customWidth="1"/>
    <col min="17" max="17" width="13.85546875" customWidth="1"/>
    <col min="20" max="23" width="0" hidden="1" customWidth="1"/>
  </cols>
  <sheetData>
    <row r="1" spans="1:31" x14ac:dyDescent="0.25">
      <c r="A1" s="4" t="s">
        <v>5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x14ac:dyDescent="0.25">
      <c r="A2" s="2"/>
      <c r="B2" s="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x14ac:dyDescent="0.25">
      <c r="A3" s="2"/>
      <c r="B3" s="6"/>
      <c r="C3" s="6"/>
      <c r="D3" s="6" t="s">
        <v>18</v>
      </c>
      <c r="E3" s="6" t="s">
        <v>19</v>
      </c>
      <c r="F3" s="6">
        <v>2022</v>
      </c>
      <c r="G3" s="7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  <c r="M3" s="8" t="s">
        <v>17</v>
      </c>
      <c r="N3" s="8"/>
      <c r="O3" s="8"/>
      <c r="P3" s="6">
        <v>2013</v>
      </c>
      <c r="Q3" s="7" t="s">
        <v>20</v>
      </c>
      <c r="R3" s="7" t="s">
        <v>21</v>
      </c>
      <c r="S3" s="8"/>
      <c r="T3" s="8"/>
      <c r="U3" s="8"/>
      <c r="V3" s="8"/>
      <c r="W3" s="8"/>
      <c r="X3" s="8"/>
      <c r="Y3" s="8"/>
      <c r="Z3" s="8"/>
      <c r="AA3" s="8"/>
    </row>
    <row r="4" spans="1:31" x14ac:dyDescent="0.25">
      <c r="A4" s="2"/>
      <c r="B4" s="9" t="s">
        <v>0</v>
      </c>
      <c r="C4" s="9"/>
      <c r="D4" s="12"/>
      <c r="E4" s="12"/>
      <c r="F4" s="11"/>
      <c r="G4" s="12"/>
      <c r="H4" s="12"/>
      <c r="I4" s="11"/>
      <c r="J4" s="14"/>
      <c r="K4" s="14"/>
      <c r="L4" s="14"/>
      <c r="M4" s="14"/>
      <c r="N4" s="8"/>
      <c r="O4" s="8"/>
      <c r="P4" s="10"/>
      <c r="Q4" s="10"/>
      <c r="R4" s="10"/>
      <c r="S4" s="8"/>
      <c r="T4" s="8"/>
      <c r="U4" s="8"/>
      <c r="V4" s="8"/>
      <c r="W4" s="8"/>
      <c r="X4" s="8"/>
      <c r="Y4" s="8"/>
      <c r="Z4" s="8"/>
      <c r="AA4" s="8"/>
    </row>
    <row r="5" spans="1:31" x14ac:dyDescent="0.25">
      <c r="A5" s="2"/>
      <c r="B5" s="9"/>
      <c r="C5" s="9" t="s">
        <v>6</v>
      </c>
      <c r="D5" s="13">
        <v>4399</v>
      </c>
      <c r="E5" s="12">
        <v>57762</v>
      </c>
      <c r="F5" s="10">
        <f>D5/E5</f>
        <v>7.6157335272324364E-2</v>
      </c>
      <c r="G5" s="12">
        <v>1934</v>
      </c>
      <c r="H5" s="12">
        <v>5311.5614465051613</v>
      </c>
      <c r="I5" s="11">
        <f t="shared" ref="I5:I15" si="0">SQRT(G5^2-(F5^2*H5^2))/E5</f>
        <v>3.2741645347886254E-2</v>
      </c>
      <c r="J5" s="14">
        <f t="shared" ref="J5:J15" si="1">I5/1.645</f>
        <v>1.9903735773791037E-2</v>
      </c>
      <c r="K5" s="15">
        <f t="shared" ref="K5:K15" si="2">J5/F5</f>
        <v>0.2613502127223728</v>
      </c>
      <c r="L5" s="14">
        <f t="shared" ref="L5:L15" si="3">F5+I5</f>
        <v>0.10889898062021061</v>
      </c>
      <c r="M5" s="14">
        <f t="shared" ref="M5:M15" si="4">F5-I5</f>
        <v>4.341568992443811E-2</v>
      </c>
      <c r="N5" s="8"/>
      <c r="O5" s="8"/>
      <c r="P5" s="10">
        <v>0.1618548149733765</v>
      </c>
      <c r="Q5" s="10">
        <v>0.19092818219509877</v>
      </c>
      <c r="R5" s="10">
        <v>0.13278144775165424</v>
      </c>
      <c r="S5" s="8"/>
      <c r="T5" s="8"/>
      <c r="U5" s="8"/>
      <c r="V5" s="8"/>
      <c r="W5" s="8"/>
      <c r="X5" s="8"/>
      <c r="Y5" s="8"/>
      <c r="Z5" s="8"/>
      <c r="AA5" s="8"/>
    </row>
    <row r="6" spans="1:31" x14ac:dyDescent="0.25">
      <c r="A6" s="2"/>
      <c r="B6" s="9"/>
      <c r="C6" s="9" t="s">
        <v>7</v>
      </c>
      <c r="D6" s="13">
        <v>17999</v>
      </c>
      <c r="E6" s="12">
        <v>700708</v>
      </c>
      <c r="F6" s="10">
        <f t="shared" ref="F6:F12" si="5">D6/E6</f>
        <v>2.5686876701850127E-2</v>
      </c>
      <c r="G6" s="12">
        <v>3020</v>
      </c>
      <c r="H6" s="12">
        <v>10776.172465212312</v>
      </c>
      <c r="I6" s="11">
        <f t="shared" si="0"/>
        <v>4.2917842173045553E-3</v>
      </c>
      <c r="J6" s="14">
        <f t="shared" si="1"/>
        <v>2.6089873661425868E-3</v>
      </c>
      <c r="K6" s="14">
        <f t="shared" si="2"/>
        <v>0.10156888267987332</v>
      </c>
      <c r="L6" s="14">
        <f t="shared" si="3"/>
        <v>2.9978660919154684E-2</v>
      </c>
      <c r="M6" s="14">
        <f t="shared" si="4"/>
        <v>2.1395092484545571E-2</v>
      </c>
      <c r="N6" s="8"/>
      <c r="O6" s="8"/>
      <c r="P6" s="10">
        <v>5.379517421862548E-2</v>
      </c>
      <c r="Q6" s="10">
        <v>5.8562940161913275E-2</v>
      </c>
      <c r="R6" s="10">
        <v>4.9027408275337685E-2</v>
      </c>
      <c r="S6" s="8"/>
      <c r="T6" s="8"/>
      <c r="U6" s="8"/>
      <c r="V6" s="8"/>
      <c r="W6" s="8"/>
      <c r="X6" s="8"/>
      <c r="Y6" s="8"/>
      <c r="Z6" s="8"/>
      <c r="AA6" s="8"/>
    </row>
    <row r="7" spans="1:31" x14ac:dyDescent="0.25">
      <c r="A7" s="2"/>
      <c r="B7" s="9" t="s">
        <v>1</v>
      </c>
      <c r="C7" s="9"/>
      <c r="D7" s="12"/>
      <c r="E7" s="12"/>
      <c r="F7" s="10"/>
      <c r="G7" s="12"/>
      <c r="H7" s="12"/>
      <c r="I7" s="11"/>
      <c r="J7" s="14"/>
      <c r="K7" s="14"/>
      <c r="L7" s="14"/>
      <c r="M7" s="14"/>
      <c r="N7" s="8"/>
      <c r="O7" s="8"/>
      <c r="P7" s="10"/>
      <c r="Q7" s="10"/>
      <c r="R7" s="10"/>
      <c r="S7" s="8"/>
      <c r="T7" s="8"/>
      <c r="U7" s="8"/>
      <c r="V7" s="8"/>
      <c r="W7" s="8"/>
      <c r="X7" s="8"/>
      <c r="Y7" s="8"/>
      <c r="Z7" s="8"/>
      <c r="AA7" s="8"/>
    </row>
    <row r="8" spans="1:31" x14ac:dyDescent="0.25">
      <c r="A8" s="2"/>
      <c r="B8" s="9"/>
      <c r="C8" s="9" t="s">
        <v>6</v>
      </c>
      <c r="D8" s="13">
        <v>7022</v>
      </c>
      <c r="E8" s="12">
        <v>102577</v>
      </c>
      <c r="F8" s="10">
        <f t="shared" si="5"/>
        <v>6.845589167162229E-2</v>
      </c>
      <c r="G8" s="12">
        <v>2124</v>
      </c>
      <c r="H8" s="12">
        <v>7117.54845434859</v>
      </c>
      <c r="I8" s="11">
        <f t="shared" si="0"/>
        <v>2.0154220039432263E-2</v>
      </c>
      <c r="J8" s="14">
        <f t="shared" si="1"/>
        <v>1.2251805495095601E-2</v>
      </c>
      <c r="K8" s="17">
        <f t="shared" si="2"/>
        <v>0.17897371863720044</v>
      </c>
      <c r="L8" s="14">
        <f t="shared" si="3"/>
        <v>8.8610111711054554E-2</v>
      </c>
      <c r="M8" s="14">
        <f t="shared" si="4"/>
        <v>4.8301671632190027E-2</v>
      </c>
      <c r="N8" s="8"/>
      <c r="O8" s="8"/>
      <c r="P8" s="10">
        <v>0.13831927374773892</v>
      </c>
      <c r="Q8" s="10">
        <v>0.16200881713201531</v>
      </c>
      <c r="R8" s="10">
        <v>0.11462973036346252</v>
      </c>
      <c r="S8" s="8"/>
      <c r="T8" s="8"/>
      <c r="U8" s="8"/>
      <c r="V8" s="8"/>
      <c r="W8" s="8"/>
      <c r="X8" s="8"/>
      <c r="Y8" s="8"/>
      <c r="Z8" s="8"/>
      <c r="AA8" s="8"/>
    </row>
    <row r="9" spans="1:31" x14ac:dyDescent="0.25">
      <c r="A9" s="2"/>
      <c r="B9" s="9"/>
      <c r="C9" s="9" t="s">
        <v>7</v>
      </c>
      <c r="D9" s="13">
        <v>31412</v>
      </c>
      <c r="E9" s="12">
        <v>1214796</v>
      </c>
      <c r="F9" s="10">
        <f t="shared" si="5"/>
        <v>2.5857839505563075E-2</v>
      </c>
      <c r="G9" s="12">
        <v>3450</v>
      </c>
      <c r="H9" s="12">
        <v>16274.761134959861</v>
      </c>
      <c r="I9" s="11">
        <f t="shared" si="0"/>
        <v>2.8187756872274008E-3</v>
      </c>
      <c r="J9" s="14">
        <f t="shared" si="1"/>
        <v>1.7135414512020673E-3</v>
      </c>
      <c r="K9" s="14">
        <f t="shared" si="2"/>
        <v>6.6267773486389486E-2</v>
      </c>
      <c r="L9" s="14">
        <f t="shared" si="3"/>
        <v>2.8676615192790474E-2</v>
      </c>
      <c r="M9" s="14">
        <f t="shared" si="4"/>
        <v>2.3039063818335676E-2</v>
      </c>
      <c r="N9" s="8"/>
      <c r="O9" s="8"/>
      <c r="P9" s="10">
        <v>5.7087623908387938E-2</v>
      </c>
      <c r="Q9" s="10">
        <v>6.1299553533479455E-2</v>
      </c>
      <c r="R9" s="10">
        <v>5.2875694283296422E-2</v>
      </c>
      <c r="S9" s="8"/>
      <c r="T9" s="8"/>
      <c r="U9" s="8"/>
      <c r="V9" s="8"/>
      <c r="W9" s="8"/>
      <c r="X9" s="8"/>
      <c r="Y9" s="8"/>
      <c r="Z9" s="8"/>
      <c r="AA9" s="8"/>
    </row>
    <row r="10" spans="1:31" x14ac:dyDescent="0.25">
      <c r="A10" s="2"/>
      <c r="B10" s="9" t="s">
        <v>2</v>
      </c>
      <c r="C10" s="9"/>
      <c r="D10" s="12"/>
      <c r="E10" s="12"/>
      <c r="F10" s="10"/>
      <c r="G10" s="12"/>
      <c r="H10" s="12"/>
      <c r="I10" s="11"/>
      <c r="J10" s="14"/>
      <c r="K10" s="14"/>
      <c r="L10" s="14"/>
      <c r="M10" s="14"/>
      <c r="N10" s="8"/>
      <c r="O10" s="8"/>
      <c r="P10" s="10"/>
      <c r="Q10" s="10"/>
      <c r="R10" s="10"/>
      <c r="S10" s="8"/>
      <c r="T10" s="8"/>
      <c r="U10" s="8"/>
      <c r="V10" s="8"/>
      <c r="W10" s="8"/>
      <c r="X10" s="8"/>
      <c r="Y10" s="8"/>
      <c r="Z10" s="8"/>
      <c r="AA10" s="8"/>
    </row>
    <row r="11" spans="1:31" x14ac:dyDescent="0.25">
      <c r="A11" s="2"/>
      <c r="B11" s="9"/>
      <c r="C11" s="9" t="s">
        <v>6</v>
      </c>
      <c r="D11" s="13">
        <v>87582</v>
      </c>
      <c r="E11" s="12">
        <v>1019126</v>
      </c>
      <c r="F11" s="10">
        <f t="shared" si="5"/>
        <v>8.5938343247056792E-2</v>
      </c>
      <c r="G11" s="12">
        <v>6442</v>
      </c>
      <c r="H11" s="12">
        <v>21763.333660080662</v>
      </c>
      <c r="I11" s="11">
        <f t="shared" si="0"/>
        <v>6.0488314274762334E-3</v>
      </c>
      <c r="J11" s="14">
        <f t="shared" si="1"/>
        <v>3.677101171718075E-3</v>
      </c>
      <c r="K11" s="14">
        <f t="shared" si="2"/>
        <v>4.278766651513273E-2</v>
      </c>
      <c r="L11" s="14">
        <f t="shared" si="3"/>
        <v>9.1987174674533032E-2</v>
      </c>
      <c r="M11" s="14">
        <f t="shared" si="4"/>
        <v>7.9889511819580553E-2</v>
      </c>
      <c r="N11" s="8"/>
      <c r="O11" s="8"/>
      <c r="P11" s="10">
        <v>0.14350753189601437</v>
      </c>
      <c r="Q11" s="10">
        <v>0.15070451284084194</v>
      </c>
      <c r="R11" s="10">
        <v>0.1363105509511868</v>
      </c>
      <c r="S11" s="8"/>
      <c r="T11" s="8"/>
      <c r="U11" s="8"/>
      <c r="V11" s="8"/>
      <c r="W11" s="8"/>
      <c r="X11" s="8"/>
      <c r="Y11" s="8"/>
      <c r="Z11" s="8"/>
      <c r="AA11" s="8"/>
    </row>
    <row r="12" spans="1:31" x14ac:dyDescent="0.25">
      <c r="A12" s="2"/>
      <c r="B12" s="9"/>
      <c r="C12" s="9" t="s">
        <v>7</v>
      </c>
      <c r="D12" s="13">
        <v>526047</v>
      </c>
      <c r="E12" s="12">
        <v>13207295</v>
      </c>
      <c r="F12" s="10">
        <f t="shared" si="5"/>
        <v>3.983003332627915E-2</v>
      </c>
      <c r="G12" s="12">
        <v>17805</v>
      </c>
      <c r="H12" s="12">
        <v>50234.596693912055</v>
      </c>
      <c r="I12" s="11">
        <f t="shared" si="0"/>
        <v>1.3395793616643842E-3</v>
      </c>
      <c r="J12" s="14">
        <f t="shared" si="1"/>
        <v>8.1433395845859221E-4</v>
      </c>
      <c r="K12" s="14">
        <f t="shared" si="2"/>
        <v>2.0445224129935866E-2</v>
      </c>
      <c r="L12" s="14">
        <f t="shared" si="3"/>
        <v>4.1169612687943537E-2</v>
      </c>
      <c r="M12" s="14">
        <f t="shared" si="4"/>
        <v>3.8490453964614764E-2</v>
      </c>
      <c r="N12" s="8"/>
      <c r="O12" s="8"/>
      <c r="P12" s="10">
        <v>6.4856317595275062E-2</v>
      </c>
      <c r="Q12" s="10">
        <v>6.6159651055785806E-2</v>
      </c>
      <c r="R12" s="10">
        <v>6.3552984134764318E-2</v>
      </c>
      <c r="S12" s="8"/>
      <c r="T12" s="8"/>
      <c r="U12" s="8"/>
      <c r="V12" s="8"/>
      <c r="W12" s="8"/>
      <c r="X12" s="8"/>
      <c r="Y12" s="8"/>
      <c r="Z12" s="8"/>
      <c r="AA12" s="8"/>
    </row>
    <row r="13" spans="1:31" x14ac:dyDescent="0.25">
      <c r="A13" s="2"/>
      <c r="B13" s="9" t="s">
        <v>3</v>
      </c>
      <c r="C13" s="9"/>
      <c r="D13" s="12"/>
      <c r="E13" s="12"/>
      <c r="F13" s="10"/>
      <c r="G13" s="12"/>
      <c r="H13" s="12"/>
      <c r="I13" s="11"/>
      <c r="J13" s="14"/>
      <c r="K13" s="14"/>
      <c r="L13" s="14"/>
      <c r="M13" s="14"/>
      <c r="N13" s="8"/>
      <c r="O13" s="8"/>
      <c r="P13" s="10"/>
      <c r="Q13" s="10"/>
      <c r="R13" s="10"/>
      <c r="S13" s="8"/>
      <c r="T13" s="8"/>
      <c r="U13" s="8"/>
      <c r="V13" s="8"/>
      <c r="W13" s="8"/>
      <c r="X13" s="8"/>
      <c r="Y13" s="8"/>
      <c r="Z13" s="8"/>
      <c r="AA13" s="8"/>
    </row>
    <row r="14" spans="1:31" x14ac:dyDescent="0.25">
      <c r="A14" s="3"/>
      <c r="B14" s="7"/>
      <c r="C14" s="9" t="s">
        <v>6</v>
      </c>
      <c r="D14" s="12">
        <v>1001780</v>
      </c>
      <c r="E14" s="12">
        <v>10792889</v>
      </c>
      <c r="F14" s="10">
        <f>D14/E14</f>
        <v>9.2818521528387807E-2</v>
      </c>
      <c r="G14" s="12">
        <v>16902</v>
      </c>
      <c r="H14" s="12">
        <v>59147.461762953106</v>
      </c>
      <c r="I14" s="11">
        <f t="shared" si="0"/>
        <v>1.4811184800608743E-3</v>
      </c>
      <c r="J14" s="14">
        <f t="shared" si="1"/>
        <v>9.0037597572089625E-4</v>
      </c>
      <c r="K14" s="14">
        <f t="shared" si="2"/>
        <v>9.7003912677657064E-3</v>
      </c>
      <c r="L14" s="14">
        <f t="shared" si="3"/>
        <v>9.4299640008448676E-2</v>
      </c>
      <c r="M14" s="14">
        <f t="shared" si="4"/>
        <v>9.1337403048326937E-2</v>
      </c>
      <c r="N14" s="8"/>
      <c r="O14" s="8"/>
      <c r="P14" s="10">
        <v>0.17334763491212207</v>
      </c>
      <c r="Q14" s="10">
        <v>0.17600056281802931</v>
      </c>
      <c r="R14" s="10">
        <v>0.17069470700621484</v>
      </c>
      <c r="S14" s="8"/>
      <c r="T14" s="8"/>
      <c r="U14" s="8"/>
      <c r="V14" s="8"/>
      <c r="W14" s="8"/>
      <c r="X14" s="8"/>
      <c r="Y14" s="8"/>
      <c r="Z14" s="8"/>
      <c r="AA14" s="8"/>
    </row>
    <row r="15" spans="1:31" x14ac:dyDescent="0.25">
      <c r="A15" s="3"/>
      <c r="B15" s="7"/>
      <c r="C15" s="9" t="s">
        <v>7</v>
      </c>
      <c r="D15" s="12">
        <v>5651650</v>
      </c>
      <c r="E15" s="12">
        <v>145852991</v>
      </c>
      <c r="F15" s="10">
        <f>D15/E15</f>
        <v>3.8748948247485718E-2</v>
      </c>
      <c r="G15" s="12">
        <v>48814</v>
      </c>
      <c r="H15" s="12">
        <v>151056.52778016578</v>
      </c>
      <c r="I15" s="11">
        <f t="shared" si="0"/>
        <v>3.3226467188735568E-4</v>
      </c>
      <c r="J15" s="14">
        <f t="shared" si="1"/>
        <v>2.0198460297103689E-4</v>
      </c>
      <c r="K15" s="14">
        <f t="shared" si="2"/>
        <v>5.212647364800229E-3</v>
      </c>
      <c r="L15" s="14">
        <f t="shared" si="3"/>
        <v>3.9081212919373075E-2</v>
      </c>
      <c r="M15" s="14">
        <f t="shared" si="4"/>
        <v>3.8416683575598361E-2</v>
      </c>
      <c r="N15" s="8"/>
      <c r="O15" s="8"/>
      <c r="P15" s="10">
        <v>7.7892433045359172E-2</v>
      </c>
      <c r="Q15" s="10">
        <v>7.8298839405919488E-2</v>
      </c>
      <c r="R15" s="10">
        <v>7.7486026684798856E-2</v>
      </c>
      <c r="S15" s="8"/>
      <c r="T15" s="8"/>
      <c r="U15" s="8"/>
      <c r="V15" s="8"/>
      <c r="W15" s="8"/>
      <c r="X15" s="8"/>
      <c r="Y15" s="8"/>
      <c r="Z15" s="8"/>
      <c r="AA15" s="8"/>
    </row>
    <row r="16" spans="1:31" ht="88.5" customHeight="1" x14ac:dyDescent="0.25">
      <c r="A16" s="1" t="s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spans="1:31" x14ac:dyDescent="0.25">
      <c r="A17" s="3"/>
      <c r="B17" s="7"/>
      <c r="C17" s="7"/>
      <c r="D17" s="6" t="s">
        <v>23</v>
      </c>
      <c r="E17" s="6" t="s">
        <v>24</v>
      </c>
      <c r="F17" s="7"/>
      <c r="G17" s="7"/>
      <c r="H17" s="7"/>
      <c r="I17" s="7"/>
      <c r="J17" s="7"/>
      <c r="K17" s="7"/>
      <c r="L17" s="7"/>
      <c r="M17" s="7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spans="1:31" x14ac:dyDescent="0.25">
      <c r="B18" s="8"/>
      <c r="C18" s="18" t="s">
        <v>25</v>
      </c>
      <c r="D18" s="19">
        <v>0.6105536549925058</v>
      </c>
      <c r="E18" s="19">
        <v>0.8268104937060532</v>
      </c>
      <c r="F18" s="8"/>
      <c r="G18" s="8"/>
      <c r="H18" s="8"/>
      <c r="I18" s="8"/>
      <c r="J18" s="8"/>
      <c r="K18" s="8"/>
      <c r="L18" s="7"/>
      <c r="M18" s="7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x14ac:dyDescent="0.25">
      <c r="A19" s="2" t="s">
        <v>4</v>
      </c>
      <c r="B19" s="7"/>
      <c r="C19" s="21" t="s">
        <v>31</v>
      </c>
      <c r="D19" s="22">
        <v>0.92384266472767562</v>
      </c>
      <c r="E19" s="19">
        <v>0.9743131232981499</v>
      </c>
      <c r="F19" s="8"/>
      <c r="G19" s="8"/>
      <c r="I19" t="s">
        <v>6</v>
      </c>
      <c r="J19" t="s">
        <v>7</v>
      </c>
      <c r="K19" s="8"/>
      <c r="L19" s="7"/>
      <c r="M19" s="7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x14ac:dyDescent="0.25">
      <c r="A20" s="3"/>
      <c r="B20" s="7"/>
      <c r="C20" s="21"/>
      <c r="D20" s="7"/>
      <c r="E20" s="8"/>
      <c r="F20" s="8"/>
      <c r="G20" s="8"/>
      <c r="H20" t="s">
        <v>0</v>
      </c>
      <c r="I20" s="5">
        <f>F5</f>
        <v>7.6157335272324364E-2</v>
      </c>
      <c r="J20" s="5">
        <f>F6</f>
        <v>2.5686876701850127E-2</v>
      </c>
      <c r="K20" s="8"/>
      <c r="L20" s="7"/>
      <c r="M20" s="7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x14ac:dyDescent="0.25">
      <c r="A21" s="3"/>
      <c r="B21" s="7" t="s">
        <v>9</v>
      </c>
      <c r="C21" s="7"/>
      <c r="D21" s="7"/>
      <c r="E21" s="8"/>
      <c r="F21" s="8"/>
      <c r="G21" s="8"/>
      <c r="H21" t="s">
        <v>22</v>
      </c>
      <c r="I21" s="5">
        <f>F8</f>
        <v>6.845589167162229E-2</v>
      </c>
      <c r="J21" s="5">
        <f>F9</f>
        <v>2.5857839505563075E-2</v>
      </c>
      <c r="K21" s="8"/>
      <c r="L21" s="7"/>
      <c r="M21" s="7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x14ac:dyDescent="0.25">
      <c r="A22" s="3"/>
      <c r="B22" s="7"/>
      <c r="C22" s="7" t="s">
        <v>10</v>
      </c>
      <c r="D22" s="7"/>
      <c r="E22" s="8"/>
      <c r="F22" s="8"/>
      <c r="G22" s="8"/>
      <c r="H22" t="s">
        <v>2</v>
      </c>
      <c r="I22" s="5">
        <f>F11</f>
        <v>8.5938343247056792E-2</v>
      </c>
      <c r="J22" s="5">
        <f>F12</f>
        <v>3.983003332627915E-2</v>
      </c>
      <c r="K22" s="8"/>
      <c r="L22" s="7"/>
      <c r="M22" s="7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spans="1:31" x14ac:dyDescent="0.25">
      <c r="B23" s="7"/>
      <c r="C23" s="7"/>
      <c r="D23" s="7"/>
      <c r="E23" s="8"/>
      <c r="F23" s="8"/>
      <c r="G23" s="8"/>
      <c r="H23" t="s">
        <v>3</v>
      </c>
      <c r="I23" s="5">
        <f>F14</f>
        <v>9.2818521528387807E-2</v>
      </c>
      <c r="J23" s="5">
        <f>F15</f>
        <v>3.8748948247485718E-2</v>
      </c>
      <c r="K23" s="8"/>
      <c r="L23" s="7"/>
      <c r="M23" s="7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spans="1:3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spans="1:31" x14ac:dyDescent="0.2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1:31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</row>
    <row r="28" spans="1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spans="1:3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spans="1:3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spans="1:3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spans="1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spans="2:3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spans="2:3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spans="2:3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spans="2:3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</row>
    <row r="37" spans="2:3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</row>
    <row r="38" spans="2:3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</row>
    <row r="39" spans="2:3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</row>
    <row r="40" spans="2:3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</row>
    <row r="41" spans="2:3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</row>
    <row r="42" spans="2:3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</row>
    <row r="43" spans="2:3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</row>
    <row r="44" spans="2:3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</row>
    <row r="45" spans="2:3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spans="2:3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spans="2:3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</row>
    <row r="48" spans="2:3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</row>
    <row r="49" spans="2:3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spans="2:3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</row>
    <row r="51" spans="2:3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</row>
    <row r="52" spans="2:3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</row>
    <row r="53" spans="2:3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</row>
    <row r="54" spans="2:3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</row>
    <row r="55" spans="2:3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</row>
    <row r="56" spans="2:3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</row>
    <row r="57" spans="2:3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</row>
    <row r="58" spans="2:3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</row>
    <row r="59" spans="2:3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</row>
    <row r="60" spans="2:3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</row>
    <row r="61" spans="2:31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</row>
    <row r="62" spans="2:31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</row>
    <row r="63" spans="2:31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</row>
    <row r="64" spans="2:3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</row>
    <row r="65" spans="2:31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</row>
    <row r="66" spans="2:31" x14ac:dyDescent="0.2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</row>
    <row r="67" spans="2:31" x14ac:dyDescent="0.2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</row>
    <row r="68" spans="2:31" x14ac:dyDescent="0.2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</row>
    <row r="69" spans="2:31" x14ac:dyDescent="0.2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</row>
    <row r="70" spans="2:31" x14ac:dyDescent="0.2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</row>
    <row r="71" spans="2:31" x14ac:dyDescent="0.2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</row>
    <row r="72" spans="2:31" x14ac:dyDescent="0.2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</row>
    <row r="73" spans="2:31" x14ac:dyDescent="0.2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</row>
    <row r="74" spans="2:31" x14ac:dyDescent="0.2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</row>
    <row r="75" spans="2:31" x14ac:dyDescent="0.2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</row>
    <row r="76" spans="2:31" x14ac:dyDescent="0.2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</row>
    <row r="77" spans="2:31" x14ac:dyDescent="0.2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</row>
    <row r="78" spans="2:31" x14ac:dyDescent="0.2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</row>
    <row r="79" spans="2:31" x14ac:dyDescent="0.2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</row>
    <row r="80" spans="2:31" x14ac:dyDescent="0.2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</row>
    <row r="81" spans="2:31" x14ac:dyDescent="0.2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</row>
    <row r="82" spans="2:31" x14ac:dyDescent="0.2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</row>
    <row r="83" spans="2:31" x14ac:dyDescent="0.2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</row>
    <row r="84" spans="2:31" x14ac:dyDescent="0.2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</row>
    <row r="85" spans="2:31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</row>
    <row r="86" spans="2:31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2:31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spans="2:31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2:31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spans="2:31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2:31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spans="2:31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spans="2:31" x14ac:dyDescent="0.2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spans="2:31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spans="2:31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spans="2:31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spans="2:31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spans="2:31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spans="2:31" x14ac:dyDescent="0.2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spans="2:31" x14ac:dyDescent="0.2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spans="2:31" x14ac:dyDescent="0.2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spans="2:3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spans="2:31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spans="2:31" x14ac:dyDescent="0.2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spans="2:31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spans="2:31" x14ac:dyDescent="0.2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2:31" x14ac:dyDescent="0.2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spans="2:31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</row>
    <row r="109" spans="2:31" x14ac:dyDescent="0.2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spans="2:31" x14ac:dyDescent="0.2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</row>
    <row r="111" spans="2:31" x14ac:dyDescent="0.2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</row>
    <row r="112" spans="2:31" x14ac:dyDescent="0.25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</row>
    <row r="113" spans="2:31" x14ac:dyDescent="0.2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</row>
    <row r="114" spans="2:31" x14ac:dyDescent="0.2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</row>
    <row r="115" spans="2:31" x14ac:dyDescent="0.2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</row>
    <row r="116" spans="2:31" x14ac:dyDescent="0.2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spans="2:31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spans="2:31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spans="2:31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0" spans="2:31" x14ac:dyDescent="0.2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spans="2:31" x14ac:dyDescent="0.2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</row>
    <row r="122" spans="2:31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</row>
    <row r="123" spans="2:31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spans="2:31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spans="2:31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spans="2:31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spans="2:31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spans="2:31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spans="2:31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spans="2:31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spans="2:31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spans="2:31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spans="2:31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pans="2:31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spans="2:31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spans="2:31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2:31" x14ac:dyDescent="0.2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spans="2:31" x14ac:dyDescent="0.2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spans="2:31" x14ac:dyDescent="0.25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spans="2:31" x14ac:dyDescent="0.25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spans="2:31" x14ac:dyDescent="0.25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spans="2:31" x14ac:dyDescent="0.2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spans="2:31" x14ac:dyDescent="0.2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spans="2:31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spans="2:31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spans="2:31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spans="2:31" x14ac:dyDescent="0.2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spans="2:31" x14ac:dyDescent="0.2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spans="2:31" x14ac:dyDescent="0.2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spans="2:31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spans="2:31" x14ac:dyDescent="0.25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spans="2:31" x14ac:dyDescent="0.25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spans="2:31" x14ac:dyDescent="0.2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spans="2:31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spans="2:31" x14ac:dyDescent="0.25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spans="2:31" x14ac:dyDescent="0.25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spans="2:31" x14ac:dyDescent="0.25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spans="2:31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spans="2:31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  <row r="160" spans="2:31" x14ac:dyDescent="0.25">
      <c r="B160" s="8"/>
      <c r="C160" s="8"/>
      <c r="D160" s="8"/>
      <c r="E160" s="8"/>
    </row>
  </sheetData>
  <pageMargins left="0.7" right="0.7" top="0.75" bottom="0.75" header="0.3" footer="0.3"/>
  <pageSetup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F05DC-A473-43B1-84F1-4A4BE0F12F43}">
  <dimension ref="A1:AE159"/>
  <sheetViews>
    <sheetView topLeftCell="A7" zoomScale="90" zoomScaleNormal="90" workbookViewId="0">
      <selection activeCell="D18" sqref="D18"/>
    </sheetView>
  </sheetViews>
  <sheetFormatPr defaultColWidth="8.85546875" defaultRowHeight="15" x14ac:dyDescent="0.25"/>
  <cols>
    <col min="1" max="1" width="64.42578125" customWidth="1"/>
    <col min="2" max="2" width="23.85546875" customWidth="1"/>
    <col min="3" max="3" width="15.42578125" customWidth="1"/>
    <col min="4" max="4" width="17.140625" customWidth="1"/>
    <col min="5" max="5" width="18.7109375" customWidth="1"/>
    <col min="6" max="6" width="8.85546875" customWidth="1"/>
    <col min="7" max="7" width="10.5703125" customWidth="1"/>
    <col min="8" max="8" width="13.28515625" customWidth="1"/>
    <col min="9" max="9" width="13.140625" customWidth="1"/>
    <col min="11" max="11" width="11.28515625" customWidth="1"/>
    <col min="12" max="12" width="12.42578125" customWidth="1"/>
    <col min="13" max="13" width="12" customWidth="1"/>
    <col min="16" max="16" width="14.42578125" customWidth="1"/>
    <col min="17" max="17" width="13.85546875" customWidth="1"/>
    <col min="20" max="23" width="0" hidden="1" customWidth="1"/>
  </cols>
  <sheetData>
    <row r="1" spans="1:31" x14ac:dyDescent="0.25">
      <c r="A1" s="4" t="s">
        <v>5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x14ac:dyDescent="0.25">
      <c r="A2" s="2"/>
      <c r="B2" s="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x14ac:dyDescent="0.25">
      <c r="A3" s="2"/>
      <c r="B3" s="6"/>
      <c r="C3" s="6"/>
      <c r="D3" s="6" t="s">
        <v>18</v>
      </c>
      <c r="E3" s="6" t="s">
        <v>19</v>
      </c>
      <c r="F3" s="6">
        <v>2021</v>
      </c>
      <c r="G3" s="7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  <c r="M3" s="8" t="s">
        <v>17</v>
      </c>
      <c r="N3" s="8"/>
      <c r="O3" s="8"/>
      <c r="P3" s="6">
        <v>2013</v>
      </c>
      <c r="Q3" s="7" t="s">
        <v>20</v>
      </c>
      <c r="R3" s="7" t="s">
        <v>21</v>
      </c>
      <c r="S3" s="8"/>
      <c r="T3" s="8"/>
      <c r="U3" s="8"/>
      <c r="V3" s="8"/>
      <c r="W3" s="8"/>
      <c r="X3" s="8"/>
      <c r="Y3" s="8"/>
      <c r="Z3" s="8"/>
      <c r="AA3" s="8"/>
    </row>
    <row r="4" spans="1:31" x14ac:dyDescent="0.25">
      <c r="A4" s="2"/>
      <c r="B4" s="9" t="s">
        <v>0</v>
      </c>
      <c r="C4" s="9"/>
      <c r="D4" s="12"/>
      <c r="E4" s="12"/>
      <c r="F4" s="11"/>
      <c r="G4" s="12"/>
      <c r="H4" s="12"/>
      <c r="I4" s="11"/>
      <c r="J4" s="14"/>
      <c r="K4" s="14"/>
      <c r="L4" s="14"/>
      <c r="M4" s="14"/>
      <c r="N4" s="8"/>
      <c r="O4" s="8"/>
      <c r="P4" s="10"/>
      <c r="Q4" s="10"/>
      <c r="R4" s="10"/>
      <c r="S4" s="8"/>
      <c r="T4" s="8"/>
      <c r="U4" s="8"/>
      <c r="V4" s="8"/>
      <c r="W4" s="8"/>
      <c r="X4" s="8"/>
      <c r="Y4" s="8"/>
      <c r="Z4" s="8"/>
      <c r="AA4" s="8"/>
    </row>
    <row r="5" spans="1:31" x14ac:dyDescent="0.25">
      <c r="A5" s="2"/>
      <c r="B5" s="9"/>
      <c r="C5" s="9" t="s">
        <v>6</v>
      </c>
      <c r="D5" s="13">
        <v>3933</v>
      </c>
      <c r="E5" s="12">
        <v>46321</v>
      </c>
      <c r="F5" s="10">
        <f>D5/E5</f>
        <v>8.4907493361542283E-2</v>
      </c>
      <c r="G5" s="12">
        <v>1491</v>
      </c>
      <c r="H5" s="12">
        <v>5311.5614465051613</v>
      </c>
      <c r="I5" s="11">
        <f t="shared" ref="I5:I15" si="0">SQRT(G5^2-(F5^2*H5^2))/E5</f>
        <v>3.0680624328556717E-2</v>
      </c>
      <c r="J5" s="14">
        <f t="shared" ref="J5:J15" si="1">I5/1.645</f>
        <v>1.8650835458089189E-2</v>
      </c>
      <c r="K5" s="15">
        <f t="shared" ref="K5:K15" si="2">J5/F5</f>
        <v>0.21966065325556811</v>
      </c>
      <c r="L5" s="14">
        <f t="shared" ref="L5:L15" si="3">F5+I5</f>
        <v>0.115588117690099</v>
      </c>
      <c r="M5" s="14">
        <f t="shared" ref="M5:M15" si="4">F5-I5</f>
        <v>5.422686903298557E-2</v>
      </c>
      <c r="N5" s="8"/>
      <c r="O5" s="8"/>
      <c r="P5" s="10">
        <v>0.1618548149733765</v>
      </c>
      <c r="Q5" s="10">
        <v>0.19092818219509877</v>
      </c>
      <c r="R5" s="10">
        <v>0.13278144775165424</v>
      </c>
      <c r="S5" s="8"/>
      <c r="T5" s="8"/>
      <c r="U5" s="8"/>
      <c r="V5" s="8"/>
      <c r="W5" s="8"/>
      <c r="X5" s="8"/>
      <c r="Y5" s="8"/>
      <c r="Z5" s="8"/>
      <c r="AA5" s="8"/>
    </row>
    <row r="6" spans="1:31" x14ac:dyDescent="0.25">
      <c r="A6" s="2"/>
      <c r="B6" s="9"/>
      <c r="C6" s="9" t="s">
        <v>7</v>
      </c>
      <c r="D6" s="13">
        <v>33311</v>
      </c>
      <c r="E6" s="12">
        <v>693118</v>
      </c>
      <c r="F6" s="10">
        <f t="shared" ref="F6:F12" si="5">D6/E6</f>
        <v>4.8059637752879018E-2</v>
      </c>
      <c r="G6" s="12">
        <v>4977</v>
      </c>
      <c r="H6" s="12">
        <v>10776.172465212312</v>
      </c>
      <c r="I6" s="11">
        <f t="shared" si="0"/>
        <v>7.1416133702999745E-3</v>
      </c>
      <c r="J6" s="14">
        <f t="shared" si="1"/>
        <v>4.3414063041337233E-3</v>
      </c>
      <c r="K6" s="14">
        <f t="shared" si="2"/>
        <v>9.0333729239847435E-2</v>
      </c>
      <c r="L6" s="14">
        <f t="shared" si="3"/>
        <v>5.5201251123178995E-2</v>
      </c>
      <c r="M6" s="14">
        <f t="shared" si="4"/>
        <v>4.0918024382579042E-2</v>
      </c>
      <c r="N6" s="8"/>
      <c r="O6" s="8"/>
      <c r="P6" s="10">
        <v>5.379517421862548E-2</v>
      </c>
      <c r="Q6" s="10">
        <v>5.8562940161913275E-2</v>
      </c>
      <c r="R6" s="10">
        <v>4.9027408275337685E-2</v>
      </c>
      <c r="S6" s="8"/>
      <c r="T6" s="8"/>
      <c r="U6" s="8"/>
      <c r="V6" s="8"/>
      <c r="W6" s="8"/>
      <c r="X6" s="8"/>
      <c r="Y6" s="8"/>
      <c r="Z6" s="8"/>
      <c r="AA6" s="8"/>
    </row>
    <row r="7" spans="1:31" x14ac:dyDescent="0.25">
      <c r="A7" s="2"/>
      <c r="B7" s="9" t="s">
        <v>1</v>
      </c>
      <c r="C7" s="9"/>
      <c r="D7" s="12"/>
      <c r="E7" s="12"/>
      <c r="F7" s="10"/>
      <c r="G7" s="12"/>
      <c r="H7" s="12"/>
      <c r="I7" s="11"/>
      <c r="J7" s="14"/>
      <c r="K7" s="14"/>
      <c r="L7" s="14"/>
      <c r="M7" s="14"/>
      <c r="N7" s="8"/>
      <c r="O7" s="8"/>
      <c r="P7" s="10"/>
      <c r="Q7" s="10"/>
      <c r="R7" s="10"/>
      <c r="S7" s="8"/>
      <c r="T7" s="8"/>
      <c r="U7" s="8"/>
      <c r="V7" s="8"/>
      <c r="W7" s="8"/>
      <c r="X7" s="8"/>
      <c r="Y7" s="8"/>
      <c r="Z7" s="8"/>
      <c r="AA7" s="8"/>
    </row>
    <row r="8" spans="1:31" x14ac:dyDescent="0.25">
      <c r="A8" s="2"/>
      <c r="B8" s="9"/>
      <c r="C8" s="9" t="s">
        <v>6</v>
      </c>
      <c r="D8" s="13">
        <v>6764</v>
      </c>
      <c r="E8" s="12">
        <v>83977</v>
      </c>
      <c r="F8" s="10">
        <f t="shared" si="5"/>
        <v>8.0545863748407304E-2</v>
      </c>
      <c r="G8" s="12">
        <v>1690</v>
      </c>
      <c r="H8" s="12">
        <v>7117.54845434859</v>
      </c>
      <c r="I8" s="11">
        <f t="shared" si="0"/>
        <v>1.8931282616162191E-2</v>
      </c>
      <c r="J8" s="14">
        <f t="shared" si="1"/>
        <v>1.1508378490068201E-2</v>
      </c>
      <c r="K8" s="17">
        <f t="shared" si="2"/>
        <v>0.14287981970142774</v>
      </c>
      <c r="L8" s="14">
        <f t="shared" si="3"/>
        <v>9.9477146364569502E-2</v>
      </c>
      <c r="M8" s="14">
        <f t="shared" si="4"/>
        <v>6.1614581132245112E-2</v>
      </c>
      <c r="N8" s="8"/>
      <c r="O8" s="8"/>
      <c r="P8" s="10">
        <v>0.13831927374773892</v>
      </c>
      <c r="Q8" s="10">
        <v>0.16200881713201531</v>
      </c>
      <c r="R8" s="10">
        <v>0.11462973036346252</v>
      </c>
      <c r="S8" s="8"/>
      <c r="T8" s="8"/>
      <c r="U8" s="8"/>
      <c r="V8" s="8"/>
      <c r="W8" s="8"/>
      <c r="X8" s="8"/>
      <c r="Y8" s="8"/>
      <c r="Z8" s="8"/>
      <c r="AA8" s="8"/>
    </row>
    <row r="9" spans="1:31" x14ac:dyDescent="0.25">
      <c r="A9" s="2"/>
      <c r="B9" s="9"/>
      <c r="C9" s="9" t="s">
        <v>7</v>
      </c>
      <c r="D9" s="13">
        <v>55646</v>
      </c>
      <c r="E9" s="12">
        <v>1184047</v>
      </c>
      <c r="F9" s="10">
        <f t="shared" si="5"/>
        <v>4.6996445242460813E-2</v>
      </c>
      <c r="G9" s="12">
        <v>6657</v>
      </c>
      <c r="H9" s="12">
        <v>16274.761134959861</v>
      </c>
      <c r="I9" s="11">
        <f t="shared" si="0"/>
        <v>5.5850105372023803E-3</v>
      </c>
      <c r="J9" s="14">
        <f t="shared" si="1"/>
        <v>3.3951431837096536E-3</v>
      </c>
      <c r="K9" s="14">
        <f t="shared" si="2"/>
        <v>7.224255294615721E-2</v>
      </c>
      <c r="L9" s="14">
        <f t="shared" si="3"/>
        <v>5.2581455779663194E-2</v>
      </c>
      <c r="M9" s="14">
        <f t="shared" si="4"/>
        <v>4.1411434705258432E-2</v>
      </c>
      <c r="N9" s="8"/>
      <c r="O9" s="8"/>
      <c r="P9" s="10">
        <v>5.7087623908387938E-2</v>
      </c>
      <c r="Q9" s="10">
        <v>6.1299553533479455E-2</v>
      </c>
      <c r="R9" s="10">
        <v>5.2875694283296422E-2</v>
      </c>
      <c r="S9" s="8"/>
      <c r="T9" s="8"/>
      <c r="U9" s="8"/>
      <c r="V9" s="8"/>
      <c r="W9" s="8"/>
      <c r="X9" s="8"/>
      <c r="Y9" s="8"/>
      <c r="Z9" s="8"/>
      <c r="AA9" s="8"/>
    </row>
    <row r="10" spans="1:31" x14ac:dyDescent="0.25">
      <c r="A10" s="2"/>
      <c r="B10" s="9" t="s">
        <v>2</v>
      </c>
      <c r="C10" s="9"/>
      <c r="D10" s="12"/>
      <c r="E10" s="12"/>
      <c r="F10" s="10"/>
      <c r="G10" s="12"/>
      <c r="H10" s="12"/>
      <c r="I10" s="11"/>
      <c r="J10" s="14"/>
      <c r="K10" s="14"/>
      <c r="L10" s="14"/>
      <c r="M10" s="14"/>
      <c r="N10" s="8"/>
      <c r="O10" s="8"/>
      <c r="P10" s="10"/>
      <c r="Q10" s="10"/>
      <c r="R10" s="10"/>
      <c r="S10" s="8"/>
      <c r="T10" s="8"/>
      <c r="U10" s="8"/>
      <c r="V10" s="8"/>
      <c r="W10" s="8"/>
      <c r="X10" s="8"/>
      <c r="Y10" s="8"/>
      <c r="Z10" s="8"/>
      <c r="AA10" s="8"/>
    </row>
    <row r="11" spans="1:31" x14ac:dyDescent="0.25">
      <c r="A11" s="2"/>
      <c r="B11" s="9"/>
      <c r="C11" s="9" t="s">
        <v>6</v>
      </c>
      <c r="D11" s="13">
        <v>109605</v>
      </c>
      <c r="E11" s="12">
        <v>940707</v>
      </c>
      <c r="F11" s="10">
        <f t="shared" si="5"/>
        <v>0.11651343085572873</v>
      </c>
      <c r="G11" s="12">
        <v>7096</v>
      </c>
      <c r="H11" s="12">
        <v>21763.333660080662</v>
      </c>
      <c r="I11" s="11">
        <f t="shared" si="0"/>
        <v>7.0451993509995465E-3</v>
      </c>
      <c r="J11" s="14">
        <f t="shared" si="1"/>
        <v>4.2827959580544351E-3</v>
      </c>
      <c r="K11" s="14">
        <f t="shared" si="2"/>
        <v>3.6757959375151805E-2</v>
      </c>
      <c r="L11" s="14">
        <f t="shared" si="3"/>
        <v>0.12355863020672828</v>
      </c>
      <c r="M11" s="14">
        <f t="shared" si="4"/>
        <v>0.10946823150472917</v>
      </c>
      <c r="N11" s="8"/>
      <c r="O11" s="8"/>
      <c r="P11" s="10">
        <v>0.14350753189601437</v>
      </c>
      <c r="Q11" s="10">
        <v>0.15070451284084194</v>
      </c>
      <c r="R11" s="10">
        <v>0.1363105509511868</v>
      </c>
      <c r="S11" s="8"/>
      <c r="T11" s="8"/>
      <c r="U11" s="8"/>
      <c r="V11" s="8"/>
      <c r="W11" s="8"/>
      <c r="X11" s="8"/>
      <c r="Y11" s="8"/>
      <c r="Z11" s="8"/>
      <c r="AA11" s="8"/>
    </row>
    <row r="12" spans="1:31" x14ac:dyDescent="0.25">
      <c r="A12" s="2"/>
      <c r="B12" s="9"/>
      <c r="C12" s="9" t="s">
        <v>7</v>
      </c>
      <c r="D12" s="13">
        <v>738313</v>
      </c>
      <c r="E12" s="12">
        <v>12798064</v>
      </c>
      <c r="F12" s="10">
        <f t="shared" si="5"/>
        <v>5.768942865108348E-2</v>
      </c>
      <c r="G12" s="12">
        <v>21729</v>
      </c>
      <c r="H12" s="12">
        <v>50234.596693912055</v>
      </c>
      <c r="I12" s="11">
        <f t="shared" si="0"/>
        <v>1.6826669133131085E-3</v>
      </c>
      <c r="J12" s="14">
        <f t="shared" si="1"/>
        <v>1.022897819643227E-3</v>
      </c>
      <c r="K12" s="14">
        <f t="shared" si="2"/>
        <v>1.7731113716343172E-2</v>
      </c>
      <c r="L12" s="14">
        <f t="shared" si="3"/>
        <v>5.9372095564396585E-2</v>
      </c>
      <c r="M12" s="14">
        <f t="shared" si="4"/>
        <v>5.6006761737770375E-2</v>
      </c>
      <c r="N12" s="8"/>
      <c r="O12" s="8"/>
      <c r="P12" s="10">
        <v>6.4856317595275062E-2</v>
      </c>
      <c r="Q12" s="10">
        <v>6.6159651055785806E-2</v>
      </c>
      <c r="R12" s="10">
        <v>6.3552984134764318E-2</v>
      </c>
      <c r="S12" s="8"/>
      <c r="T12" s="8"/>
      <c r="U12" s="8"/>
      <c r="V12" s="8"/>
      <c r="W12" s="8"/>
      <c r="X12" s="8"/>
      <c r="Y12" s="8"/>
      <c r="Z12" s="8"/>
      <c r="AA12" s="8"/>
    </row>
    <row r="13" spans="1:31" x14ac:dyDescent="0.25">
      <c r="A13" s="2"/>
      <c r="B13" s="9" t="s">
        <v>3</v>
      </c>
      <c r="C13" s="9"/>
      <c r="D13" s="12"/>
      <c r="E13" s="12"/>
      <c r="F13" s="10"/>
      <c r="G13" s="12"/>
      <c r="H13" s="12"/>
      <c r="I13" s="11"/>
      <c r="J13" s="14"/>
      <c r="K13" s="14"/>
      <c r="L13" s="14"/>
      <c r="M13" s="14"/>
      <c r="N13" s="8"/>
      <c r="O13" s="8"/>
      <c r="P13" s="10"/>
      <c r="Q13" s="10"/>
      <c r="R13" s="10"/>
      <c r="S13" s="8"/>
      <c r="T13" s="8"/>
      <c r="U13" s="8"/>
      <c r="V13" s="8"/>
      <c r="W13" s="8"/>
      <c r="X13" s="8"/>
      <c r="Y13" s="8"/>
      <c r="Z13" s="8"/>
      <c r="AA13" s="8"/>
    </row>
    <row r="14" spans="1:31" x14ac:dyDescent="0.25">
      <c r="A14" s="3"/>
      <c r="B14" s="7"/>
      <c r="C14" s="9" t="s">
        <v>6</v>
      </c>
      <c r="D14" s="12">
        <v>1315849</v>
      </c>
      <c r="E14" s="12">
        <v>9981352</v>
      </c>
      <c r="F14" s="10">
        <f>D14/E14</f>
        <v>0.13183073796014808</v>
      </c>
      <c r="G14" s="12">
        <v>20963</v>
      </c>
      <c r="H14" s="12">
        <v>59147.461762953106</v>
      </c>
      <c r="I14" s="11">
        <f t="shared" si="0"/>
        <v>1.9495210941140684E-3</v>
      </c>
      <c r="J14" s="14">
        <f t="shared" si="1"/>
        <v>1.1851192061483697E-3</v>
      </c>
      <c r="K14" s="14">
        <f t="shared" si="2"/>
        <v>8.9897031943083471E-3</v>
      </c>
      <c r="L14" s="14">
        <f t="shared" si="3"/>
        <v>0.13378025905426214</v>
      </c>
      <c r="M14" s="14">
        <f t="shared" si="4"/>
        <v>0.12988121686603402</v>
      </c>
      <c r="N14" s="8"/>
      <c r="O14" s="8"/>
      <c r="P14" s="10">
        <v>0.17334763491212207</v>
      </c>
      <c r="Q14" s="10">
        <v>0.17600056281802931</v>
      </c>
      <c r="R14" s="10">
        <v>0.17069470700621484</v>
      </c>
      <c r="S14" s="8"/>
      <c r="T14" s="8"/>
      <c r="U14" s="8"/>
      <c r="V14" s="8"/>
      <c r="W14" s="8"/>
      <c r="X14" s="8"/>
      <c r="Y14" s="8"/>
      <c r="Z14" s="8"/>
      <c r="AA14" s="8"/>
    </row>
    <row r="15" spans="1:31" x14ac:dyDescent="0.25">
      <c r="A15" s="3"/>
      <c r="B15" s="7"/>
      <c r="C15" s="9" t="s">
        <v>7</v>
      </c>
      <c r="D15" s="12">
        <v>8319560</v>
      </c>
      <c r="E15" s="12">
        <v>144241288</v>
      </c>
      <c r="F15" s="10">
        <f>D15/E15</f>
        <v>5.7678076196879216E-2</v>
      </c>
      <c r="G15" s="12">
        <v>64027</v>
      </c>
      <c r="H15" s="12">
        <v>151056.52778016578</v>
      </c>
      <c r="I15" s="11">
        <f t="shared" si="0"/>
        <v>4.3975918442197917E-4</v>
      </c>
      <c r="J15" s="14">
        <f t="shared" si="1"/>
        <v>2.6733081119877154E-4</v>
      </c>
      <c r="K15" s="14">
        <f t="shared" si="2"/>
        <v>4.6348773888758099E-3</v>
      </c>
      <c r="L15" s="14">
        <f t="shared" si="3"/>
        <v>5.8117835381301199E-2</v>
      </c>
      <c r="M15" s="14">
        <f t="shared" si="4"/>
        <v>5.7238317012457234E-2</v>
      </c>
      <c r="N15" s="8"/>
      <c r="O15" s="8"/>
      <c r="P15" s="10">
        <v>7.7892433045359172E-2</v>
      </c>
      <c r="Q15" s="10">
        <v>7.8298839405919488E-2</v>
      </c>
      <c r="R15" s="10">
        <v>7.7486026684798856E-2</v>
      </c>
      <c r="S15" s="8"/>
      <c r="T15" s="8"/>
      <c r="U15" s="8"/>
      <c r="V15" s="8"/>
      <c r="W15" s="8"/>
      <c r="X15" s="8"/>
      <c r="Y15" s="8"/>
      <c r="Z15" s="8"/>
      <c r="AA15" s="8"/>
    </row>
    <row r="16" spans="1:31" ht="88.5" customHeight="1" x14ac:dyDescent="0.25">
      <c r="A16" s="1" t="s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spans="1:31" x14ac:dyDescent="0.25">
      <c r="A17" s="3"/>
      <c r="B17" s="7"/>
      <c r="C17" s="7"/>
      <c r="D17" s="6" t="s">
        <v>23</v>
      </c>
      <c r="E17" s="6" t="s">
        <v>24</v>
      </c>
      <c r="F17" s="7"/>
      <c r="G17" s="7"/>
      <c r="H17" s="7"/>
      <c r="I17" s="7"/>
      <c r="J17" s="7"/>
      <c r="K17" s="7"/>
      <c r="L17" s="7"/>
      <c r="M17" s="7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spans="1:31" x14ac:dyDescent="0.25">
      <c r="B18" s="8"/>
      <c r="C18" s="18" t="s">
        <v>25</v>
      </c>
      <c r="D18" s="19">
        <v>0.62371983519717478</v>
      </c>
      <c r="E18" s="19">
        <v>0.80225841006666776</v>
      </c>
      <c r="F18" s="8"/>
      <c r="G18" s="8"/>
      <c r="H18" s="8"/>
      <c r="I18" s="8"/>
      <c r="J18" s="8"/>
      <c r="K18" s="8"/>
      <c r="L18" s="7"/>
      <c r="M18" s="7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x14ac:dyDescent="0.25">
      <c r="A19" s="2" t="s">
        <v>4</v>
      </c>
      <c r="B19" s="7"/>
      <c r="C19" s="7"/>
      <c r="D19" s="7"/>
      <c r="E19" s="8"/>
      <c r="F19" s="8"/>
      <c r="G19" s="8"/>
      <c r="I19" t="s">
        <v>6</v>
      </c>
      <c r="J19" t="s">
        <v>7</v>
      </c>
      <c r="K19" s="8"/>
      <c r="L19" s="7"/>
      <c r="M19" s="7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x14ac:dyDescent="0.25">
      <c r="A20" s="3"/>
      <c r="B20" s="7" t="s">
        <v>9</v>
      </c>
      <c r="C20" s="7"/>
      <c r="D20" s="7"/>
      <c r="E20" s="8"/>
      <c r="F20" s="8"/>
      <c r="G20" s="8"/>
      <c r="H20" t="s">
        <v>0</v>
      </c>
      <c r="I20" s="5">
        <f>F5</f>
        <v>8.4907493361542283E-2</v>
      </c>
      <c r="J20" s="5">
        <f>F6</f>
        <v>4.8059637752879018E-2</v>
      </c>
      <c r="K20" s="8"/>
      <c r="L20" s="7"/>
      <c r="M20" s="7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x14ac:dyDescent="0.25">
      <c r="A21" s="3"/>
      <c r="B21" s="7"/>
      <c r="C21" s="7" t="s">
        <v>10</v>
      </c>
      <c r="D21" s="7"/>
      <c r="E21" s="8"/>
      <c r="F21" s="8"/>
      <c r="G21" s="8"/>
      <c r="H21" t="s">
        <v>22</v>
      </c>
      <c r="I21" s="5">
        <f>F8</f>
        <v>8.0545863748407304E-2</v>
      </c>
      <c r="J21" s="5">
        <f>F9</f>
        <v>4.6996445242460813E-2</v>
      </c>
      <c r="K21" s="8"/>
      <c r="L21" s="7"/>
      <c r="M21" s="7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x14ac:dyDescent="0.25">
      <c r="A22" s="3"/>
      <c r="B22" s="7"/>
      <c r="C22" s="7"/>
      <c r="D22" s="7"/>
      <c r="E22" s="8"/>
      <c r="F22" s="8"/>
      <c r="G22" s="8"/>
      <c r="H22" t="s">
        <v>2</v>
      </c>
      <c r="I22" s="5">
        <f>F11</f>
        <v>0.11651343085572873</v>
      </c>
      <c r="J22" s="5">
        <f>F12</f>
        <v>5.768942865108348E-2</v>
      </c>
      <c r="K22" s="8"/>
      <c r="L22" s="7"/>
      <c r="M22" s="7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spans="1:31" x14ac:dyDescent="0.25">
      <c r="B23" s="8"/>
      <c r="C23" s="8"/>
      <c r="D23" s="8"/>
      <c r="E23" s="8"/>
      <c r="F23" s="8"/>
      <c r="G23" s="8"/>
      <c r="H23" t="s">
        <v>3</v>
      </c>
      <c r="I23" s="5">
        <f>F14</f>
        <v>0.13183073796014808</v>
      </c>
      <c r="J23" s="5">
        <f>F15</f>
        <v>5.7678076196879216E-2</v>
      </c>
      <c r="K23" s="8"/>
      <c r="L23" s="7"/>
      <c r="M23" s="7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spans="1:3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spans="1:31" x14ac:dyDescent="0.2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1:31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</row>
    <row r="28" spans="1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spans="1:3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spans="1:3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spans="1:3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spans="1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spans="2:3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spans="2:3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spans="2:3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spans="2:3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</row>
    <row r="37" spans="2:3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</row>
    <row r="38" spans="2:3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</row>
    <row r="39" spans="2:3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</row>
    <row r="40" spans="2:3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</row>
    <row r="41" spans="2:3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</row>
    <row r="42" spans="2:3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</row>
    <row r="43" spans="2:3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</row>
    <row r="44" spans="2:3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</row>
    <row r="45" spans="2:3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spans="2:3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spans="2:3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</row>
    <row r="48" spans="2:3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</row>
    <row r="49" spans="2:3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spans="2:3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</row>
    <row r="51" spans="2:3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</row>
    <row r="52" spans="2:3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</row>
    <row r="53" spans="2:3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</row>
    <row r="54" spans="2:3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</row>
    <row r="55" spans="2:3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</row>
    <row r="56" spans="2:3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</row>
    <row r="57" spans="2:3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</row>
    <row r="58" spans="2:3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</row>
    <row r="59" spans="2:3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</row>
    <row r="60" spans="2:3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</row>
    <row r="61" spans="2:31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</row>
    <row r="62" spans="2:31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</row>
    <row r="63" spans="2:31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</row>
    <row r="64" spans="2:3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</row>
    <row r="65" spans="2:31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</row>
    <row r="66" spans="2:31" x14ac:dyDescent="0.2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</row>
    <row r="67" spans="2:31" x14ac:dyDescent="0.2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</row>
    <row r="68" spans="2:31" x14ac:dyDescent="0.2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</row>
    <row r="69" spans="2:31" x14ac:dyDescent="0.2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</row>
    <row r="70" spans="2:31" x14ac:dyDescent="0.2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</row>
    <row r="71" spans="2:31" x14ac:dyDescent="0.2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</row>
    <row r="72" spans="2:31" x14ac:dyDescent="0.2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</row>
    <row r="73" spans="2:31" x14ac:dyDescent="0.2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</row>
    <row r="74" spans="2:31" x14ac:dyDescent="0.2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</row>
    <row r="75" spans="2:31" x14ac:dyDescent="0.2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</row>
    <row r="76" spans="2:31" x14ac:dyDescent="0.2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</row>
    <row r="77" spans="2:31" x14ac:dyDescent="0.2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</row>
    <row r="78" spans="2:31" x14ac:dyDescent="0.2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</row>
    <row r="79" spans="2:31" x14ac:dyDescent="0.2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</row>
    <row r="80" spans="2:31" x14ac:dyDescent="0.2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</row>
    <row r="81" spans="2:31" x14ac:dyDescent="0.2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</row>
    <row r="82" spans="2:31" x14ac:dyDescent="0.2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</row>
    <row r="83" spans="2:31" x14ac:dyDescent="0.2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</row>
    <row r="84" spans="2:31" x14ac:dyDescent="0.2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</row>
    <row r="85" spans="2:31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</row>
    <row r="86" spans="2:31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2:31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spans="2:31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2:31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spans="2:31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2:31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spans="2:31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spans="2:31" x14ac:dyDescent="0.2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spans="2:31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spans="2:31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spans="2:31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spans="2:31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spans="2:31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spans="2:31" x14ac:dyDescent="0.2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spans="2:31" x14ac:dyDescent="0.2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spans="2:31" x14ac:dyDescent="0.2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spans="2:3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spans="2:31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spans="2:31" x14ac:dyDescent="0.2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spans="2:31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spans="2:31" x14ac:dyDescent="0.2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2:31" x14ac:dyDescent="0.2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spans="2:31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</row>
    <row r="109" spans="2:31" x14ac:dyDescent="0.2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spans="2:31" x14ac:dyDescent="0.2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</row>
    <row r="111" spans="2:31" x14ac:dyDescent="0.2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</row>
    <row r="112" spans="2:31" x14ac:dyDescent="0.25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</row>
    <row r="113" spans="2:31" x14ac:dyDescent="0.2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</row>
    <row r="114" spans="2:31" x14ac:dyDescent="0.2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</row>
    <row r="115" spans="2:31" x14ac:dyDescent="0.2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</row>
    <row r="116" spans="2:31" x14ac:dyDescent="0.2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spans="2:31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spans="2:31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spans="2:31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0" spans="2:31" x14ac:dyDescent="0.2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spans="2:31" x14ac:dyDescent="0.2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</row>
    <row r="122" spans="2:31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</row>
    <row r="123" spans="2:31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spans="2:31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spans="2:31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spans="2:31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spans="2:31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spans="2:31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spans="2:31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spans="2:31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spans="2:31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spans="2:31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spans="2:31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pans="2:31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spans="2:31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spans="2:31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2:31" x14ac:dyDescent="0.2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spans="2:31" x14ac:dyDescent="0.2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spans="2:31" x14ac:dyDescent="0.25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spans="2:31" x14ac:dyDescent="0.25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spans="2:31" x14ac:dyDescent="0.25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spans="2:31" x14ac:dyDescent="0.2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spans="2:31" x14ac:dyDescent="0.2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spans="2:31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spans="2:31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spans="2:31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spans="2:31" x14ac:dyDescent="0.2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spans="2:31" x14ac:dyDescent="0.2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spans="2:31" x14ac:dyDescent="0.2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spans="2:31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spans="2:31" x14ac:dyDescent="0.25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spans="2:31" x14ac:dyDescent="0.25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spans="2:31" x14ac:dyDescent="0.2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spans="2:31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spans="2:31" x14ac:dyDescent="0.25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spans="2:31" x14ac:dyDescent="0.25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spans="2:31" x14ac:dyDescent="0.25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spans="2:31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spans="2:31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</sheetData>
  <pageMargins left="0.7" right="0.7" top="0.75" bottom="0.75" header="0.3" footer="0.3"/>
  <pageSetup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840FF-381A-425D-BC54-4E58A83DF541}">
  <dimension ref="A1:AE159"/>
  <sheetViews>
    <sheetView zoomScale="60" zoomScaleNormal="60" workbookViewId="0">
      <selection activeCell="D18" sqref="D18"/>
    </sheetView>
  </sheetViews>
  <sheetFormatPr defaultColWidth="8.85546875" defaultRowHeight="15" x14ac:dyDescent="0.25"/>
  <cols>
    <col min="1" max="1" width="64.42578125" customWidth="1"/>
    <col min="2" max="2" width="23.85546875" customWidth="1"/>
    <col min="3" max="3" width="15.42578125" customWidth="1"/>
    <col min="4" max="4" width="17.140625" customWidth="1"/>
    <col min="5" max="5" width="18.7109375" customWidth="1"/>
    <col min="6" max="6" width="8.85546875" customWidth="1"/>
    <col min="7" max="7" width="10.5703125" customWidth="1"/>
    <col min="8" max="8" width="13.28515625" customWidth="1"/>
    <col min="9" max="9" width="13.140625" customWidth="1"/>
    <col min="11" max="11" width="11.28515625" customWidth="1"/>
    <col min="12" max="12" width="12.42578125" customWidth="1"/>
    <col min="13" max="13" width="12" customWidth="1"/>
    <col min="16" max="16" width="14.42578125" customWidth="1"/>
    <col min="17" max="17" width="13.85546875" customWidth="1"/>
    <col min="20" max="23" width="0" hidden="1" customWidth="1"/>
  </cols>
  <sheetData>
    <row r="1" spans="1:31" x14ac:dyDescent="0.25">
      <c r="A1" s="4" t="s">
        <v>5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x14ac:dyDescent="0.25">
      <c r="A2" s="2"/>
      <c r="B2" s="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x14ac:dyDescent="0.25">
      <c r="A3" s="2"/>
      <c r="B3" s="6"/>
      <c r="C3" s="6"/>
      <c r="D3" s="6" t="s">
        <v>18</v>
      </c>
      <c r="E3" s="6" t="s">
        <v>19</v>
      </c>
      <c r="F3" s="6">
        <v>2019</v>
      </c>
      <c r="G3" s="7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  <c r="M3" s="8" t="s">
        <v>17</v>
      </c>
      <c r="N3" s="8"/>
      <c r="O3" s="8"/>
      <c r="P3" s="6">
        <v>2013</v>
      </c>
      <c r="Q3" s="7" t="s">
        <v>20</v>
      </c>
      <c r="R3" s="7" t="s">
        <v>21</v>
      </c>
      <c r="S3" s="8"/>
      <c r="T3" s="8"/>
      <c r="U3" s="8"/>
      <c r="V3" s="8"/>
      <c r="W3" s="8"/>
      <c r="X3" s="8"/>
      <c r="Y3" s="8"/>
      <c r="Z3" s="8"/>
      <c r="AA3" s="8"/>
    </row>
    <row r="4" spans="1:31" x14ac:dyDescent="0.25">
      <c r="A4" s="2"/>
      <c r="B4" s="9" t="s">
        <v>0</v>
      </c>
      <c r="C4" s="9"/>
      <c r="D4" s="12"/>
      <c r="E4" s="12"/>
      <c r="F4" s="11"/>
      <c r="G4" s="12"/>
      <c r="H4" s="12"/>
      <c r="I4" s="11"/>
      <c r="J4" s="14"/>
      <c r="K4" s="14"/>
      <c r="L4" s="14"/>
      <c r="M4" s="14"/>
      <c r="N4" s="8"/>
      <c r="O4" s="8"/>
      <c r="P4" s="10"/>
      <c r="Q4" s="10"/>
      <c r="R4" s="10"/>
      <c r="S4" s="8"/>
      <c r="T4" s="8"/>
      <c r="U4" s="8"/>
      <c r="V4" s="8"/>
      <c r="W4" s="8"/>
      <c r="X4" s="8"/>
      <c r="Y4" s="8"/>
      <c r="Z4" s="8"/>
      <c r="AA4" s="8"/>
    </row>
    <row r="5" spans="1:31" x14ac:dyDescent="0.25">
      <c r="A5" s="2"/>
      <c r="B5" s="9"/>
      <c r="C5" s="9" t="s">
        <v>6</v>
      </c>
      <c r="D5" s="13">
        <v>4321</v>
      </c>
      <c r="E5" s="12">
        <v>36675</v>
      </c>
      <c r="F5" s="11">
        <f>D5/E5</f>
        <v>0.1178186775732788</v>
      </c>
      <c r="G5" s="12">
        <v>642</v>
      </c>
      <c r="H5" s="12">
        <f>SQRT(SUMSQ(G5,2915))</f>
        <v>2984.859963214355</v>
      </c>
      <c r="I5" s="11">
        <f t="shared" ref="I5:I15" si="0">SQRT(G5^2-(F5^2*H5^2))/E5</f>
        <v>1.4645214285245366E-2</v>
      </c>
      <c r="J5" s="14">
        <f t="shared" ref="J5:J15" si="1">I5/1.645</f>
        <v>8.9028658268968785E-3</v>
      </c>
      <c r="K5" s="15">
        <f t="shared" ref="K5:K15" si="2">J5/F5</f>
        <v>7.5564129646249256E-2</v>
      </c>
      <c r="L5" s="14">
        <f t="shared" ref="L5:L15" si="3">F5+I5</f>
        <v>0.13246389185852417</v>
      </c>
      <c r="M5" s="14">
        <f t="shared" ref="M5:M15" si="4">F5-I5</f>
        <v>0.10317346328803342</v>
      </c>
      <c r="N5" s="8"/>
      <c r="O5" s="8"/>
      <c r="P5" s="10">
        <v>0.1618548149733765</v>
      </c>
      <c r="Q5" s="10">
        <v>0.19092818219509877</v>
      </c>
      <c r="R5" s="10">
        <v>0.13278144775165424</v>
      </c>
      <c r="S5" s="8"/>
      <c r="T5" s="8"/>
      <c r="U5" s="8"/>
      <c r="V5" s="8"/>
      <c r="W5" s="8"/>
      <c r="X5" s="8"/>
      <c r="Y5" s="8"/>
      <c r="Z5" s="8"/>
      <c r="AA5" s="8"/>
    </row>
    <row r="6" spans="1:31" x14ac:dyDescent="0.25">
      <c r="A6" s="2"/>
      <c r="B6" s="9"/>
      <c r="C6" s="9" t="s">
        <v>7</v>
      </c>
      <c r="D6" s="13">
        <v>18917</v>
      </c>
      <c r="E6" s="12">
        <v>677725</v>
      </c>
      <c r="F6" s="11">
        <f t="shared" ref="F6:F12" si="5">D6/E6</f>
        <v>2.7912501383304436E-2</v>
      </c>
      <c r="G6" s="12">
        <v>3470</v>
      </c>
      <c r="H6" s="12">
        <f>SQRT(SUMSQ(G6,8182))</f>
        <v>8887.4081711149065</v>
      </c>
      <c r="I6" s="11">
        <f t="shared" si="0"/>
        <v>5.106970238179305E-3</v>
      </c>
      <c r="J6" s="14">
        <f t="shared" si="1"/>
        <v>3.1045411782245013E-3</v>
      </c>
      <c r="K6" s="14">
        <f t="shared" si="2"/>
        <v>0.11122404028187347</v>
      </c>
      <c r="L6" s="14">
        <f t="shared" si="3"/>
        <v>3.3019471621483741E-2</v>
      </c>
      <c r="M6" s="14">
        <f t="shared" si="4"/>
        <v>2.2805531145125131E-2</v>
      </c>
      <c r="N6" s="8"/>
      <c r="O6" s="8"/>
      <c r="P6" s="10">
        <v>5.379517421862548E-2</v>
      </c>
      <c r="Q6" s="10">
        <v>5.8562940161913275E-2</v>
      </c>
      <c r="R6" s="10">
        <v>4.9027408275337685E-2</v>
      </c>
      <c r="S6" s="8"/>
      <c r="T6" s="8"/>
      <c r="U6" s="8"/>
      <c r="V6" s="8"/>
      <c r="W6" s="8"/>
      <c r="X6" s="8"/>
      <c r="Y6" s="8"/>
      <c r="Z6" s="8"/>
      <c r="AA6" s="8"/>
    </row>
    <row r="7" spans="1:31" x14ac:dyDescent="0.25">
      <c r="A7" s="2"/>
      <c r="B7" s="9" t="s">
        <v>1</v>
      </c>
      <c r="C7" s="9"/>
      <c r="D7" s="12"/>
      <c r="E7" s="12"/>
      <c r="F7" s="11"/>
      <c r="G7" s="12"/>
      <c r="H7" s="12"/>
      <c r="I7" s="11"/>
      <c r="J7" s="14"/>
      <c r="K7" s="14"/>
      <c r="L7" s="14"/>
      <c r="M7" s="14"/>
      <c r="N7" s="8"/>
      <c r="O7" s="8"/>
      <c r="P7" s="10"/>
      <c r="Q7" s="10"/>
      <c r="R7" s="10"/>
      <c r="S7" s="8"/>
      <c r="T7" s="8"/>
      <c r="U7" s="8"/>
      <c r="V7" s="8"/>
      <c r="W7" s="8"/>
      <c r="X7" s="8"/>
      <c r="Y7" s="8"/>
      <c r="Z7" s="8"/>
      <c r="AA7" s="8"/>
    </row>
    <row r="8" spans="1:31" x14ac:dyDescent="0.25">
      <c r="A8" s="2"/>
      <c r="B8" s="9"/>
      <c r="C8" s="9" t="s">
        <v>6</v>
      </c>
      <c r="D8" s="13">
        <v>7831</v>
      </c>
      <c r="E8" s="12">
        <v>64935</v>
      </c>
      <c r="F8" s="11">
        <f t="shared" si="5"/>
        <v>0.1205975205975206</v>
      </c>
      <c r="G8" s="12">
        <v>1651</v>
      </c>
      <c r="H8" s="12">
        <f>SQRT(SUMSQ(G8,4745))</f>
        <v>5024.0248805116398</v>
      </c>
      <c r="I8" s="11">
        <f t="shared" si="0"/>
        <v>2.3651457935977876E-2</v>
      </c>
      <c r="J8" s="14">
        <f t="shared" si="1"/>
        <v>1.4377785979317858E-2</v>
      </c>
      <c r="K8" s="17">
        <f t="shared" si="2"/>
        <v>0.11922124027161347</v>
      </c>
      <c r="L8" s="14">
        <f t="shared" si="3"/>
        <v>0.14424897853349847</v>
      </c>
      <c r="M8" s="14">
        <f t="shared" si="4"/>
        <v>9.6946062661542723E-2</v>
      </c>
      <c r="N8" s="8"/>
      <c r="O8" s="8"/>
      <c r="P8" s="10">
        <v>0.13831927374773892</v>
      </c>
      <c r="Q8" s="10">
        <v>0.16200881713201531</v>
      </c>
      <c r="R8" s="10">
        <v>0.11462973036346252</v>
      </c>
      <c r="S8" s="8"/>
      <c r="T8" s="8"/>
      <c r="U8" s="8"/>
      <c r="V8" s="8"/>
      <c r="W8" s="8"/>
      <c r="X8" s="8"/>
      <c r="Y8" s="8"/>
      <c r="Z8" s="8"/>
      <c r="AA8" s="8"/>
    </row>
    <row r="9" spans="1:31" x14ac:dyDescent="0.25">
      <c r="A9" s="2"/>
      <c r="B9" s="9"/>
      <c r="C9" s="9" t="s">
        <v>7</v>
      </c>
      <c r="D9" s="13">
        <v>36218</v>
      </c>
      <c r="E9" s="12">
        <v>1134320</v>
      </c>
      <c r="F9" s="11">
        <f t="shared" si="5"/>
        <v>3.1929261584032725E-2</v>
      </c>
      <c r="G9" s="12">
        <v>4447</v>
      </c>
      <c r="H9" s="12">
        <f>SQRT(SUMSQ(G9,10526))</f>
        <v>11426.831800634855</v>
      </c>
      <c r="I9" s="11">
        <f t="shared" si="0"/>
        <v>3.9071935726490304E-3</v>
      </c>
      <c r="J9" s="14">
        <f t="shared" si="1"/>
        <v>2.3751936611848207E-3</v>
      </c>
      <c r="K9" s="14">
        <f t="shared" si="2"/>
        <v>7.4389244954309069E-2</v>
      </c>
      <c r="L9" s="14">
        <f t="shared" si="3"/>
        <v>3.5836455156681754E-2</v>
      </c>
      <c r="M9" s="14">
        <f t="shared" si="4"/>
        <v>2.8022068011383697E-2</v>
      </c>
      <c r="N9" s="8"/>
      <c r="O9" s="8"/>
      <c r="P9" s="10">
        <v>5.7087623908387938E-2</v>
      </c>
      <c r="Q9" s="10">
        <v>6.1299553533479455E-2</v>
      </c>
      <c r="R9" s="10">
        <v>5.2875694283296422E-2</v>
      </c>
      <c r="S9" s="8"/>
      <c r="T9" s="8"/>
      <c r="U9" s="8"/>
      <c r="V9" s="8"/>
      <c r="W9" s="8"/>
      <c r="X9" s="8"/>
      <c r="Y9" s="8"/>
      <c r="Z9" s="8"/>
      <c r="AA9" s="8"/>
    </row>
    <row r="10" spans="1:31" x14ac:dyDescent="0.25">
      <c r="A10" s="2"/>
      <c r="B10" s="9" t="s">
        <v>2</v>
      </c>
      <c r="C10" s="9"/>
      <c r="D10" s="12"/>
      <c r="E10" s="12"/>
      <c r="F10" s="11"/>
      <c r="G10" s="12"/>
      <c r="H10" s="12"/>
      <c r="I10" s="11"/>
      <c r="J10" s="14"/>
      <c r="K10" s="14"/>
      <c r="L10" s="14"/>
      <c r="M10" s="14"/>
      <c r="N10" s="8"/>
      <c r="O10" s="8"/>
      <c r="P10" s="10"/>
      <c r="Q10" s="10"/>
      <c r="R10" s="10"/>
      <c r="S10" s="8"/>
      <c r="T10" s="8"/>
      <c r="U10" s="8"/>
      <c r="V10" s="8"/>
      <c r="W10" s="8"/>
      <c r="X10" s="8"/>
      <c r="Y10" s="8"/>
      <c r="Z10" s="8"/>
      <c r="AA10" s="8"/>
    </row>
    <row r="11" spans="1:31" x14ac:dyDescent="0.25">
      <c r="A11" s="2"/>
      <c r="B11" s="9"/>
      <c r="C11" s="9" t="s">
        <v>6</v>
      </c>
      <c r="D11" s="13">
        <v>70619</v>
      </c>
      <c r="E11" s="12">
        <v>761148</v>
      </c>
      <c r="F11" s="11">
        <f t="shared" si="5"/>
        <v>9.2779590828590497E-2</v>
      </c>
      <c r="G11" s="12">
        <v>5222</v>
      </c>
      <c r="H11" s="12">
        <f>SQRT(SUMSQ(G11,16169))</f>
        <v>16991.346179746914</v>
      </c>
      <c r="I11" s="11">
        <f t="shared" si="0"/>
        <v>6.5405966693391068E-3</v>
      </c>
      <c r="J11" s="14">
        <f t="shared" si="1"/>
        <v>3.976046607500977E-3</v>
      </c>
      <c r="K11" s="14">
        <f t="shared" si="2"/>
        <v>4.2854754714823966E-2</v>
      </c>
      <c r="L11" s="14">
        <f t="shared" si="3"/>
        <v>9.9320187497929605E-2</v>
      </c>
      <c r="M11" s="14">
        <f t="shared" si="4"/>
        <v>8.6238994159251389E-2</v>
      </c>
      <c r="N11" s="8"/>
      <c r="O11" s="8"/>
      <c r="P11" s="10">
        <v>0.14350753189601437</v>
      </c>
      <c r="Q11" s="10">
        <v>0.15070451284084194</v>
      </c>
      <c r="R11" s="10">
        <v>0.1363105509511868</v>
      </c>
      <c r="S11" s="8"/>
      <c r="T11" s="8"/>
      <c r="U11" s="8"/>
      <c r="V11" s="8"/>
      <c r="W11" s="8"/>
      <c r="X11" s="8"/>
      <c r="Y11" s="8"/>
      <c r="Z11" s="8"/>
      <c r="AA11" s="8"/>
    </row>
    <row r="12" spans="1:31" x14ac:dyDescent="0.25">
      <c r="A12" s="2"/>
      <c r="B12" s="9"/>
      <c r="C12" s="9" t="s">
        <v>7</v>
      </c>
      <c r="D12" s="13">
        <v>510212</v>
      </c>
      <c r="E12" s="12">
        <v>12763160</v>
      </c>
      <c r="F12" s="11">
        <f t="shared" si="5"/>
        <v>3.9975366602001385E-2</v>
      </c>
      <c r="G12" s="12">
        <v>16025</v>
      </c>
      <c r="H12" s="12">
        <f>SQRT(SUMSQ(G12,31680))</f>
        <v>35502.436888191209</v>
      </c>
      <c r="I12" s="11">
        <f t="shared" si="0"/>
        <v>1.250633144595299E-3</v>
      </c>
      <c r="J12" s="14">
        <f t="shared" si="1"/>
        <v>7.6026330978437627E-4</v>
      </c>
      <c r="K12" s="14">
        <f t="shared" si="2"/>
        <v>1.9018294875282352E-2</v>
      </c>
      <c r="L12" s="14">
        <f t="shared" si="3"/>
        <v>4.1225999746596687E-2</v>
      </c>
      <c r="M12" s="14">
        <f t="shared" si="4"/>
        <v>3.8724733457406083E-2</v>
      </c>
      <c r="N12" s="8"/>
      <c r="O12" s="8"/>
      <c r="P12" s="10">
        <v>6.4856317595275062E-2</v>
      </c>
      <c r="Q12" s="10">
        <v>6.6159651055785806E-2</v>
      </c>
      <c r="R12" s="10">
        <v>6.3552984134764318E-2</v>
      </c>
      <c r="S12" s="8"/>
      <c r="T12" s="8"/>
      <c r="U12" s="8"/>
      <c r="V12" s="8"/>
      <c r="W12" s="8"/>
      <c r="X12" s="8"/>
      <c r="Y12" s="8"/>
      <c r="Z12" s="8"/>
      <c r="AA12" s="8"/>
    </row>
    <row r="13" spans="1:31" x14ac:dyDescent="0.25">
      <c r="A13" s="2"/>
      <c r="B13" s="9" t="s">
        <v>3</v>
      </c>
      <c r="C13" s="9"/>
      <c r="D13" s="12"/>
      <c r="E13" s="12"/>
      <c r="F13" s="11"/>
      <c r="G13" s="12"/>
      <c r="H13" s="12"/>
      <c r="I13" s="11"/>
      <c r="J13" s="14"/>
      <c r="K13" s="14"/>
      <c r="L13" s="14"/>
      <c r="M13" s="14"/>
      <c r="N13" s="8"/>
      <c r="O13" s="8"/>
      <c r="P13" s="10"/>
      <c r="Q13" s="10"/>
      <c r="R13" s="10"/>
      <c r="S13" s="8"/>
      <c r="T13" s="8"/>
      <c r="U13" s="8"/>
      <c r="V13" s="8"/>
      <c r="W13" s="8"/>
      <c r="X13" s="8"/>
      <c r="Y13" s="8"/>
      <c r="Z13" s="8"/>
      <c r="AA13" s="8"/>
    </row>
    <row r="14" spans="1:31" x14ac:dyDescent="0.25">
      <c r="A14" s="3"/>
      <c r="B14" s="7"/>
      <c r="C14" s="9" t="s">
        <v>6</v>
      </c>
      <c r="D14" s="12">
        <v>916589</v>
      </c>
      <c r="E14" s="12">
        <v>8805030</v>
      </c>
      <c r="F14" s="11">
        <f>D14/E14</f>
        <v>0.10409833924472717</v>
      </c>
      <c r="G14" s="12">
        <v>18722</v>
      </c>
      <c r="H14" s="12">
        <f>SQRT(SUMSQ(G14,40592))</f>
        <v>44701.496037604826</v>
      </c>
      <c r="I14" s="11">
        <f t="shared" si="0"/>
        <v>2.0595598866083495E-3</v>
      </c>
      <c r="J14" s="14">
        <f t="shared" si="1"/>
        <v>1.2520120891236167E-3</v>
      </c>
      <c r="K14" s="14">
        <f t="shared" si="2"/>
        <v>1.2027205219674379E-2</v>
      </c>
      <c r="L14" s="14">
        <f t="shared" si="3"/>
        <v>0.10615789913133551</v>
      </c>
      <c r="M14" s="14">
        <f t="shared" si="4"/>
        <v>0.10203877935811882</v>
      </c>
      <c r="N14" s="8"/>
      <c r="O14" s="8"/>
      <c r="P14" s="10">
        <v>0.17334763491212207</v>
      </c>
      <c r="Q14" s="10">
        <v>0.17600056281802931</v>
      </c>
      <c r="R14" s="10">
        <v>0.17069470700621484</v>
      </c>
      <c r="S14" s="8"/>
      <c r="T14" s="8"/>
      <c r="U14" s="8"/>
      <c r="V14" s="8"/>
      <c r="W14" s="8"/>
      <c r="X14" s="8"/>
      <c r="Y14" s="8"/>
      <c r="Z14" s="8"/>
      <c r="AA14" s="8"/>
    </row>
    <row r="15" spans="1:31" x14ac:dyDescent="0.25">
      <c r="A15" s="3"/>
      <c r="B15" s="7"/>
      <c r="C15" s="9" t="s">
        <v>7</v>
      </c>
      <c r="D15" s="12">
        <v>5952566</v>
      </c>
      <c r="E15" s="12">
        <v>145230650</v>
      </c>
      <c r="F15" s="11">
        <f>D15/E15</f>
        <v>4.0986981742490311E-2</v>
      </c>
      <c r="G15" s="12">
        <v>48875</v>
      </c>
      <c r="H15" s="12">
        <f>SQRT(SUMSQ(G15,108632))</f>
        <v>119120.43086305556</v>
      </c>
      <c r="I15" s="11">
        <f t="shared" si="0"/>
        <v>3.3485028539397102E-4</v>
      </c>
      <c r="J15" s="14">
        <f t="shared" si="1"/>
        <v>2.0355640449481522E-4</v>
      </c>
      <c r="K15" s="14">
        <f t="shared" si="2"/>
        <v>4.9663672668971556E-3</v>
      </c>
      <c r="L15" s="14">
        <f t="shared" si="3"/>
        <v>4.1321832027884281E-2</v>
      </c>
      <c r="M15" s="14">
        <f t="shared" si="4"/>
        <v>4.0652131457096341E-2</v>
      </c>
      <c r="N15" s="8"/>
      <c r="O15" s="8"/>
      <c r="P15" s="10">
        <v>7.7892433045359172E-2</v>
      </c>
      <c r="Q15" s="10">
        <v>7.8298839405919488E-2</v>
      </c>
      <c r="R15" s="10">
        <v>7.7486026684798856E-2</v>
      </c>
      <c r="S15" s="8"/>
      <c r="T15" s="8"/>
      <c r="U15" s="8"/>
      <c r="V15" s="8"/>
      <c r="W15" s="8"/>
      <c r="X15" s="8"/>
      <c r="Y15" s="8"/>
      <c r="Z15" s="8"/>
      <c r="AA15" s="8"/>
    </row>
    <row r="16" spans="1:31" ht="88.5" customHeight="1" x14ac:dyDescent="0.25">
      <c r="A16" s="1" t="s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spans="1:31" x14ac:dyDescent="0.25">
      <c r="A17" s="3"/>
      <c r="B17" s="7"/>
      <c r="C17" s="7"/>
      <c r="D17" s="6" t="s">
        <v>23</v>
      </c>
      <c r="E17" s="6" t="s">
        <v>24</v>
      </c>
      <c r="F17" s="7"/>
      <c r="G17" s="7"/>
      <c r="H17" s="7"/>
      <c r="I17" s="7"/>
      <c r="J17" s="7"/>
      <c r="K17" s="7"/>
      <c r="L17" s="7"/>
      <c r="M17" s="7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spans="1:31" x14ac:dyDescent="0.25">
      <c r="B18" s="8"/>
      <c r="C18" s="18" t="s">
        <v>25</v>
      </c>
      <c r="D18" s="19">
        <v>0.50671093639880349</v>
      </c>
      <c r="E18" s="19">
        <v>0.81841333098131386</v>
      </c>
      <c r="F18" s="8"/>
      <c r="G18" s="8"/>
      <c r="H18" s="8"/>
      <c r="I18" s="8"/>
      <c r="J18" s="8"/>
      <c r="K18" s="8"/>
      <c r="L18" s="7"/>
      <c r="M18" s="7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x14ac:dyDescent="0.25">
      <c r="A19" s="2" t="s">
        <v>4</v>
      </c>
      <c r="B19" s="7"/>
      <c r="C19" s="7"/>
      <c r="D19" s="7"/>
      <c r="E19" s="8"/>
      <c r="F19" s="8"/>
      <c r="G19" s="8"/>
      <c r="I19" t="s">
        <v>6</v>
      </c>
      <c r="J19" t="s">
        <v>7</v>
      </c>
      <c r="K19" s="8"/>
      <c r="L19" s="7"/>
      <c r="M19" s="7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x14ac:dyDescent="0.25">
      <c r="A20" s="3"/>
      <c r="B20" s="7" t="s">
        <v>9</v>
      </c>
      <c r="C20" s="7"/>
      <c r="D20" s="7"/>
      <c r="E20" s="8"/>
      <c r="F20" s="8"/>
      <c r="G20" s="8"/>
      <c r="H20" t="s">
        <v>0</v>
      </c>
      <c r="I20" s="5">
        <f>F5</f>
        <v>0.1178186775732788</v>
      </c>
      <c r="J20" s="5">
        <f>F6</f>
        <v>2.7912501383304436E-2</v>
      </c>
      <c r="K20" s="8"/>
      <c r="L20" s="7"/>
      <c r="M20" s="7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x14ac:dyDescent="0.25">
      <c r="A21" s="3"/>
      <c r="B21" s="7"/>
      <c r="C21" s="7" t="s">
        <v>10</v>
      </c>
      <c r="D21" s="7"/>
      <c r="E21" s="8"/>
      <c r="F21" s="8"/>
      <c r="G21" s="8"/>
      <c r="H21" t="s">
        <v>22</v>
      </c>
      <c r="I21" s="5">
        <f>F8</f>
        <v>0.1205975205975206</v>
      </c>
      <c r="J21" s="5">
        <f>F9</f>
        <v>3.1929261584032725E-2</v>
      </c>
      <c r="K21" s="8"/>
      <c r="L21" s="7"/>
      <c r="M21" s="7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x14ac:dyDescent="0.25">
      <c r="A22" s="3"/>
      <c r="B22" s="7"/>
      <c r="C22" s="7"/>
      <c r="D22" s="7"/>
      <c r="E22" s="8"/>
      <c r="F22" s="8"/>
      <c r="G22" s="8"/>
      <c r="H22" t="s">
        <v>2</v>
      </c>
      <c r="I22" s="5">
        <f>F11</f>
        <v>9.2779590828590497E-2</v>
      </c>
      <c r="J22" s="5">
        <f>F12</f>
        <v>3.9975366602001385E-2</v>
      </c>
      <c r="K22" s="8"/>
      <c r="L22" s="7"/>
      <c r="M22" s="7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spans="1:31" x14ac:dyDescent="0.25">
      <c r="B23" s="8"/>
      <c r="C23" s="8" t="s">
        <v>30</v>
      </c>
      <c r="D23" s="8"/>
      <c r="E23" s="8"/>
      <c r="F23" s="8"/>
      <c r="G23" s="8"/>
      <c r="H23" t="s">
        <v>3</v>
      </c>
      <c r="I23" s="5">
        <f>F14</f>
        <v>0.10409833924472717</v>
      </c>
      <c r="J23" s="5">
        <f>F15</f>
        <v>4.0986981742490311E-2</v>
      </c>
      <c r="K23" s="8"/>
      <c r="L23" s="7"/>
      <c r="M23" s="7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spans="1:3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spans="1:31" x14ac:dyDescent="0.2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1:31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</row>
    <row r="28" spans="1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spans="1:3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spans="1:3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spans="1:3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spans="1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spans="2:3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spans="2:3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spans="2:3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spans="2:3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</row>
    <row r="37" spans="2:3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</row>
    <row r="38" spans="2:3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</row>
    <row r="39" spans="2:3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</row>
    <row r="40" spans="2:3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</row>
    <row r="41" spans="2:3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</row>
    <row r="42" spans="2:3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</row>
    <row r="43" spans="2:3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</row>
    <row r="44" spans="2:3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</row>
    <row r="45" spans="2:3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spans="2:3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spans="2:3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</row>
    <row r="48" spans="2:3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</row>
    <row r="49" spans="2:3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spans="2:3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</row>
    <row r="51" spans="2:3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</row>
    <row r="52" spans="2:3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</row>
    <row r="53" spans="2:3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</row>
    <row r="54" spans="2:3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</row>
    <row r="55" spans="2:3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</row>
    <row r="56" spans="2:3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</row>
    <row r="57" spans="2:3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</row>
    <row r="58" spans="2:3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</row>
    <row r="59" spans="2:3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</row>
    <row r="60" spans="2:3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</row>
    <row r="61" spans="2:31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</row>
    <row r="62" spans="2:31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</row>
    <row r="63" spans="2:31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</row>
    <row r="64" spans="2:3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</row>
    <row r="65" spans="2:31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</row>
    <row r="66" spans="2:31" x14ac:dyDescent="0.2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</row>
    <row r="67" spans="2:31" x14ac:dyDescent="0.2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</row>
    <row r="68" spans="2:31" x14ac:dyDescent="0.2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</row>
    <row r="69" spans="2:31" x14ac:dyDescent="0.2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</row>
    <row r="70" spans="2:31" x14ac:dyDescent="0.2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</row>
    <row r="71" spans="2:31" x14ac:dyDescent="0.2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</row>
    <row r="72" spans="2:31" x14ac:dyDescent="0.2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</row>
    <row r="73" spans="2:31" x14ac:dyDescent="0.2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</row>
    <row r="74" spans="2:31" x14ac:dyDescent="0.2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</row>
    <row r="75" spans="2:31" x14ac:dyDescent="0.2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</row>
    <row r="76" spans="2:31" x14ac:dyDescent="0.2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</row>
    <row r="77" spans="2:31" x14ac:dyDescent="0.2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</row>
    <row r="78" spans="2:31" x14ac:dyDescent="0.2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</row>
    <row r="79" spans="2:31" x14ac:dyDescent="0.2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</row>
    <row r="80" spans="2:31" x14ac:dyDescent="0.2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</row>
    <row r="81" spans="2:31" x14ac:dyDescent="0.2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</row>
    <row r="82" spans="2:31" x14ac:dyDescent="0.2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</row>
    <row r="83" spans="2:31" x14ac:dyDescent="0.2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</row>
    <row r="84" spans="2:31" x14ac:dyDescent="0.2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</row>
    <row r="85" spans="2:31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</row>
    <row r="86" spans="2:31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2:31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spans="2:31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2:31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spans="2:31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2:31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spans="2:31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spans="2:31" x14ac:dyDescent="0.2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spans="2:31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spans="2:31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spans="2:31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spans="2:31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spans="2:31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spans="2:31" x14ac:dyDescent="0.2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spans="2:31" x14ac:dyDescent="0.2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spans="2:31" x14ac:dyDescent="0.2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spans="2:3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spans="2:31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spans="2:31" x14ac:dyDescent="0.2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spans="2:31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spans="2:31" x14ac:dyDescent="0.2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2:31" x14ac:dyDescent="0.2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spans="2:31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</row>
    <row r="109" spans="2:31" x14ac:dyDescent="0.2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spans="2:31" x14ac:dyDescent="0.2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</row>
    <row r="111" spans="2:31" x14ac:dyDescent="0.2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</row>
    <row r="112" spans="2:31" x14ac:dyDescent="0.25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</row>
    <row r="113" spans="2:31" x14ac:dyDescent="0.2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</row>
    <row r="114" spans="2:31" x14ac:dyDescent="0.2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</row>
    <row r="115" spans="2:31" x14ac:dyDescent="0.2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</row>
    <row r="116" spans="2:31" x14ac:dyDescent="0.2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spans="2:31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spans="2:31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spans="2:31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0" spans="2:31" x14ac:dyDescent="0.2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spans="2:31" x14ac:dyDescent="0.2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</row>
    <row r="122" spans="2:31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</row>
    <row r="123" spans="2:31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spans="2:31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spans="2:31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spans="2:31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spans="2:31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spans="2:31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spans="2:31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spans="2:31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spans="2:31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spans="2:31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spans="2:31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pans="2:31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spans="2:31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spans="2:31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2:31" x14ac:dyDescent="0.2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spans="2:31" x14ac:dyDescent="0.2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spans="2:31" x14ac:dyDescent="0.25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spans="2:31" x14ac:dyDescent="0.25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spans="2:31" x14ac:dyDescent="0.25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spans="2:31" x14ac:dyDescent="0.2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spans="2:31" x14ac:dyDescent="0.2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spans="2:31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spans="2:31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spans="2:31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spans="2:31" x14ac:dyDescent="0.2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spans="2:31" x14ac:dyDescent="0.2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spans="2:31" x14ac:dyDescent="0.2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spans="2:31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spans="2:31" x14ac:dyDescent="0.25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spans="2:31" x14ac:dyDescent="0.25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spans="2:31" x14ac:dyDescent="0.2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spans="2:31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spans="2:31" x14ac:dyDescent="0.25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spans="2:31" x14ac:dyDescent="0.25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spans="2:31" x14ac:dyDescent="0.25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spans="2:31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spans="2:31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</sheetData>
  <pageMargins left="0.7" right="0.7" top="0.75" bottom="0.75" header="0.3" footer="0.3"/>
  <pageSetup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7DECB-F05B-4E24-8024-9C27303E92BB}">
  <dimension ref="A1:AE159"/>
  <sheetViews>
    <sheetView zoomScale="60" zoomScaleNormal="60" workbookViewId="0">
      <selection activeCell="H19" sqref="H19:J23"/>
    </sheetView>
  </sheetViews>
  <sheetFormatPr defaultColWidth="8.85546875" defaultRowHeight="15" x14ac:dyDescent="0.25"/>
  <cols>
    <col min="1" max="1" width="64.42578125" customWidth="1"/>
    <col min="2" max="2" width="23.85546875" customWidth="1"/>
    <col min="3" max="3" width="15.42578125" customWidth="1"/>
    <col min="4" max="4" width="17.140625" customWidth="1"/>
    <col min="5" max="5" width="18.7109375" customWidth="1"/>
    <col min="6" max="6" width="8.85546875" customWidth="1"/>
    <col min="7" max="7" width="10.5703125" customWidth="1"/>
    <col min="8" max="8" width="13.28515625" customWidth="1"/>
    <col min="9" max="9" width="13.140625" customWidth="1"/>
    <col min="11" max="11" width="11.28515625" customWidth="1"/>
    <col min="12" max="12" width="12.42578125" customWidth="1"/>
    <col min="13" max="13" width="12" customWidth="1"/>
    <col min="16" max="16" width="14.42578125" customWidth="1"/>
    <col min="17" max="17" width="13.85546875" customWidth="1"/>
    <col min="20" max="23" width="0" hidden="1" customWidth="1"/>
  </cols>
  <sheetData>
    <row r="1" spans="1:31" x14ac:dyDescent="0.25">
      <c r="A1" s="4" t="s">
        <v>5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x14ac:dyDescent="0.25">
      <c r="A2" s="2"/>
      <c r="B2" s="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x14ac:dyDescent="0.25">
      <c r="A3" s="2"/>
      <c r="B3" s="6"/>
      <c r="C3" s="6"/>
      <c r="D3" s="6" t="s">
        <v>18</v>
      </c>
      <c r="E3" s="6" t="s">
        <v>19</v>
      </c>
      <c r="F3" s="6">
        <v>2018</v>
      </c>
      <c r="G3" s="7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  <c r="M3" s="8" t="s">
        <v>17</v>
      </c>
      <c r="N3" s="8"/>
      <c r="O3" s="8"/>
      <c r="P3" s="6">
        <v>2013</v>
      </c>
      <c r="Q3" s="7" t="s">
        <v>20</v>
      </c>
      <c r="R3" s="7" t="s">
        <v>21</v>
      </c>
      <c r="S3" s="8"/>
      <c r="T3" s="8"/>
      <c r="U3" s="8"/>
      <c r="V3" s="8"/>
      <c r="W3" s="8"/>
      <c r="X3" s="8"/>
      <c r="Y3" s="8"/>
      <c r="Z3" s="8"/>
      <c r="AA3" s="8"/>
    </row>
    <row r="4" spans="1:31" x14ac:dyDescent="0.25">
      <c r="A4" s="2"/>
      <c r="B4" s="9" t="s">
        <v>0</v>
      </c>
      <c r="C4" s="9"/>
      <c r="D4" s="12"/>
      <c r="E4" s="12"/>
      <c r="F4" s="11"/>
      <c r="G4" s="12"/>
      <c r="H4" s="12"/>
      <c r="I4" s="11"/>
      <c r="J4" s="14"/>
      <c r="K4" s="14"/>
      <c r="L4" s="14"/>
      <c r="M4" s="14"/>
      <c r="N4" s="8"/>
      <c r="O4" s="8"/>
      <c r="P4" s="10"/>
      <c r="Q4" s="10"/>
      <c r="R4" s="10"/>
      <c r="S4" s="8"/>
      <c r="T4" s="8"/>
      <c r="U4" s="8"/>
      <c r="V4" s="8"/>
      <c r="W4" s="8"/>
      <c r="X4" s="8"/>
      <c r="Y4" s="8"/>
      <c r="Z4" s="8"/>
      <c r="AA4" s="8"/>
    </row>
    <row r="5" spans="1:31" x14ac:dyDescent="0.25">
      <c r="A5" s="2"/>
      <c r="B5" s="9"/>
      <c r="C5" s="9" t="s">
        <v>6</v>
      </c>
      <c r="D5" s="13">
        <v>2988</v>
      </c>
      <c r="E5" s="12">
        <v>33844</v>
      </c>
      <c r="F5" s="11">
        <f t="shared" ref="F5:F12" si="0">D5/E5</f>
        <v>8.8287436473230119E-2</v>
      </c>
      <c r="G5" s="12">
        <v>642</v>
      </c>
      <c r="H5" s="12">
        <f>SQRT(SUMSQ(G5,2915))</f>
        <v>2984.859963214355</v>
      </c>
      <c r="I5" s="11">
        <f t="shared" ref="I5:I15" si="1">SQRT(G5^2-(F5^2*H5^2))/E5</f>
        <v>1.7297642739565057E-2</v>
      </c>
      <c r="J5" s="14">
        <f t="shared" ref="J5:J15" si="2">I5/1.645</f>
        <v>1.0515284340161128E-2</v>
      </c>
      <c r="K5" s="15">
        <f t="shared" ref="K5:K15" si="3">J5/F5</f>
        <v>0.11910283909250777</v>
      </c>
      <c r="L5" s="14">
        <f t="shared" ref="L5:L15" si="4">F5+I5</f>
        <v>0.10558507921279517</v>
      </c>
      <c r="M5" s="14">
        <f t="shared" ref="M5:M15" si="5">F5-I5</f>
        <v>7.0989793733665069E-2</v>
      </c>
      <c r="N5" s="8"/>
      <c r="O5" s="8"/>
      <c r="P5" s="10">
        <v>0.1618548149733765</v>
      </c>
      <c r="Q5" s="10">
        <v>0.19092818219509877</v>
      </c>
      <c r="R5" s="10">
        <v>0.13278144775165424</v>
      </c>
      <c r="S5" s="8"/>
      <c r="T5" s="8"/>
      <c r="U5" s="8"/>
      <c r="V5" s="8"/>
      <c r="W5" s="8"/>
      <c r="X5" s="8"/>
      <c r="Y5" s="8"/>
      <c r="Z5" s="8"/>
      <c r="AA5" s="8"/>
    </row>
    <row r="6" spans="1:31" x14ac:dyDescent="0.25">
      <c r="A6" s="2"/>
      <c r="B6" s="9"/>
      <c r="C6" s="9" t="s">
        <v>7</v>
      </c>
      <c r="D6" s="13">
        <v>22536</v>
      </c>
      <c r="E6" s="12">
        <v>660609</v>
      </c>
      <c r="F6" s="11">
        <f t="shared" si="0"/>
        <v>3.4113976648819495E-2</v>
      </c>
      <c r="G6" s="12">
        <v>3470</v>
      </c>
      <c r="H6" s="12">
        <f>SQRT(SUMSQ(G6,8182))</f>
        <v>8887.4081711149065</v>
      </c>
      <c r="I6" s="11">
        <f t="shared" si="1"/>
        <v>5.2326406653915164E-3</v>
      </c>
      <c r="J6" s="14">
        <f t="shared" si="2"/>
        <v>3.1809365747060888E-3</v>
      </c>
      <c r="K6" s="14">
        <f t="shared" si="3"/>
        <v>9.3244379201278607E-2</v>
      </c>
      <c r="L6" s="14">
        <f t="shared" si="4"/>
        <v>3.9346617314211012E-2</v>
      </c>
      <c r="M6" s="14">
        <f t="shared" si="5"/>
        <v>2.8881335983427979E-2</v>
      </c>
      <c r="N6" s="8"/>
      <c r="O6" s="8"/>
      <c r="P6" s="10">
        <v>5.379517421862548E-2</v>
      </c>
      <c r="Q6" s="10">
        <v>5.8562940161913275E-2</v>
      </c>
      <c r="R6" s="10">
        <v>4.9027408275337685E-2</v>
      </c>
      <c r="S6" s="8"/>
      <c r="T6" s="8"/>
      <c r="U6" s="8"/>
      <c r="V6" s="8"/>
      <c r="W6" s="8"/>
      <c r="X6" s="8"/>
      <c r="Y6" s="8"/>
      <c r="Z6" s="8"/>
      <c r="AA6" s="8"/>
    </row>
    <row r="7" spans="1:31" x14ac:dyDescent="0.25">
      <c r="A7" s="2"/>
      <c r="B7" s="9" t="s">
        <v>1</v>
      </c>
      <c r="C7" s="9"/>
      <c r="D7" s="12"/>
      <c r="E7" s="12"/>
      <c r="F7" s="11"/>
      <c r="G7" s="12"/>
      <c r="H7" s="12"/>
      <c r="I7" s="11"/>
      <c r="J7" s="14"/>
      <c r="K7" s="14"/>
      <c r="L7" s="14"/>
      <c r="M7" s="14"/>
      <c r="N7" s="8"/>
      <c r="O7" s="8"/>
      <c r="P7" s="10"/>
      <c r="Q7" s="10"/>
      <c r="R7" s="10"/>
      <c r="S7" s="8"/>
      <c r="T7" s="8"/>
      <c r="U7" s="8"/>
      <c r="V7" s="8"/>
      <c r="W7" s="8"/>
      <c r="X7" s="8"/>
      <c r="Y7" s="8"/>
      <c r="Z7" s="8"/>
      <c r="AA7" s="8"/>
    </row>
    <row r="8" spans="1:31" x14ac:dyDescent="0.25">
      <c r="A8" s="2"/>
      <c r="B8" s="9"/>
      <c r="C8" s="9" t="s">
        <v>6</v>
      </c>
      <c r="D8" s="13">
        <v>6314</v>
      </c>
      <c r="E8" s="12">
        <v>60736</v>
      </c>
      <c r="F8" s="11">
        <f t="shared" si="0"/>
        <v>0.10395811380400422</v>
      </c>
      <c r="G8" s="12">
        <v>1651</v>
      </c>
      <c r="H8" s="12">
        <f>SQRT(SUMSQ(G8,4745))</f>
        <v>5024.0248805116398</v>
      </c>
      <c r="I8" s="11">
        <f t="shared" si="1"/>
        <v>2.5787189507213325E-2</v>
      </c>
      <c r="J8" s="14">
        <f t="shared" si="2"/>
        <v>1.5676103043898677E-2</v>
      </c>
      <c r="K8" s="17">
        <f t="shared" si="3"/>
        <v>0.15079249199781913</v>
      </c>
      <c r="L8" s="14">
        <f t="shared" si="4"/>
        <v>0.12974530331121753</v>
      </c>
      <c r="M8" s="14">
        <f t="shared" si="5"/>
        <v>7.8170924296790886E-2</v>
      </c>
      <c r="N8" s="8"/>
      <c r="O8" s="8"/>
      <c r="P8" s="10">
        <v>0.13831927374773892</v>
      </c>
      <c r="Q8" s="10">
        <v>0.16200881713201531</v>
      </c>
      <c r="R8" s="10">
        <v>0.11462973036346252</v>
      </c>
      <c r="S8" s="8"/>
      <c r="T8" s="8"/>
      <c r="U8" s="8"/>
      <c r="V8" s="8"/>
      <c r="W8" s="8"/>
      <c r="X8" s="8"/>
      <c r="Y8" s="8"/>
      <c r="Z8" s="8"/>
      <c r="AA8" s="8"/>
    </row>
    <row r="9" spans="1:31" x14ac:dyDescent="0.25">
      <c r="A9" s="2"/>
      <c r="B9" s="9"/>
      <c r="C9" s="9" t="s">
        <v>7</v>
      </c>
      <c r="D9" s="13">
        <v>42412</v>
      </c>
      <c r="E9" s="12">
        <v>1089217</v>
      </c>
      <c r="F9" s="11">
        <f t="shared" si="0"/>
        <v>3.8938062846980905E-2</v>
      </c>
      <c r="G9" s="12">
        <v>4447</v>
      </c>
      <c r="H9" s="12">
        <f>SQRT(SUMSQ(G9,10526))</f>
        <v>11426.831800634855</v>
      </c>
      <c r="I9" s="11">
        <f t="shared" si="1"/>
        <v>4.0622622825206029E-3</v>
      </c>
      <c r="J9" s="14">
        <f t="shared" si="2"/>
        <v>2.4694603541158678E-3</v>
      </c>
      <c r="K9" s="14">
        <f t="shared" si="3"/>
        <v>6.3420215941927358E-2</v>
      </c>
      <c r="L9" s="14">
        <f t="shared" si="4"/>
        <v>4.3000325129501506E-2</v>
      </c>
      <c r="M9" s="14">
        <f t="shared" si="5"/>
        <v>3.4875800564460303E-2</v>
      </c>
      <c r="N9" s="8"/>
      <c r="O9" s="8"/>
      <c r="P9" s="10">
        <v>5.7087623908387938E-2</v>
      </c>
      <c r="Q9" s="10">
        <v>6.1299553533479455E-2</v>
      </c>
      <c r="R9" s="10">
        <v>5.2875694283296422E-2</v>
      </c>
      <c r="S9" s="8"/>
      <c r="T9" s="8"/>
      <c r="U9" s="8"/>
      <c r="V9" s="8"/>
      <c r="W9" s="8"/>
      <c r="X9" s="8"/>
      <c r="Y9" s="8"/>
      <c r="Z9" s="8"/>
      <c r="AA9" s="8"/>
    </row>
    <row r="10" spans="1:31" x14ac:dyDescent="0.25">
      <c r="A10" s="2"/>
      <c r="B10" s="9" t="s">
        <v>2</v>
      </c>
      <c r="C10" s="9"/>
      <c r="D10" s="12"/>
      <c r="E10" s="12"/>
      <c r="F10" s="11"/>
      <c r="G10" s="12"/>
      <c r="H10" s="12"/>
      <c r="I10" s="11"/>
      <c r="J10" s="14"/>
      <c r="K10" s="14"/>
      <c r="L10" s="14"/>
      <c r="M10" s="14"/>
      <c r="N10" s="8"/>
      <c r="O10" s="8"/>
      <c r="P10" s="10"/>
      <c r="Q10" s="10"/>
      <c r="R10" s="10"/>
      <c r="S10" s="8"/>
      <c r="T10" s="8"/>
      <c r="U10" s="8"/>
      <c r="V10" s="8"/>
      <c r="W10" s="8"/>
      <c r="X10" s="8"/>
      <c r="Y10" s="8"/>
      <c r="Z10" s="8"/>
      <c r="AA10" s="8"/>
    </row>
    <row r="11" spans="1:31" x14ac:dyDescent="0.25">
      <c r="A11" s="2"/>
      <c r="B11" s="9"/>
      <c r="C11" s="9" t="s">
        <v>6</v>
      </c>
      <c r="D11" s="13">
        <v>74662</v>
      </c>
      <c r="E11" s="12">
        <v>734220</v>
      </c>
      <c r="F11" s="11">
        <f t="shared" si="0"/>
        <v>0.10168886709705538</v>
      </c>
      <c r="G11" s="12">
        <v>5222</v>
      </c>
      <c r="H11" s="12">
        <f>SQRT(SUMSQ(G11,16169))</f>
        <v>16991.346179746914</v>
      </c>
      <c r="I11" s="11">
        <f t="shared" si="1"/>
        <v>6.7117052006548088E-3</v>
      </c>
      <c r="J11" s="14">
        <f t="shared" si="2"/>
        <v>4.0800639517658416E-3</v>
      </c>
      <c r="K11" s="14">
        <f t="shared" si="3"/>
        <v>4.0123015117000831E-2</v>
      </c>
      <c r="L11" s="14">
        <f t="shared" si="4"/>
        <v>0.10840057229771019</v>
      </c>
      <c r="M11" s="14">
        <f t="shared" si="5"/>
        <v>9.4977161896400569E-2</v>
      </c>
      <c r="N11" s="8"/>
      <c r="O11" s="8"/>
      <c r="P11" s="10">
        <v>0.14350753189601437</v>
      </c>
      <c r="Q11" s="10">
        <v>0.15070451284084194</v>
      </c>
      <c r="R11" s="10">
        <v>0.1363105509511868</v>
      </c>
      <c r="S11" s="8"/>
      <c r="T11" s="8"/>
      <c r="U11" s="8"/>
      <c r="V11" s="8"/>
      <c r="W11" s="8"/>
      <c r="X11" s="8"/>
      <c r="Y11" s="8"/>
      <c r="Z11" s="8"/>
      <c r="AA11" s="8"/>
    </row>
    <row r="12" spans="1:31" x14ac:dyDescent="0.25">
      <c r="A12" s="2"/>
      <c r="B12" s="9"/>
      <c r="C12" s="9" t="s">
        <v>7</v>
      </c>
      <c r="D12" s="13">
        <v>571003</v>
      </c>
      <c r="E12" s="12">
        <v>12561351</v>
      </c>
      <c r="F12" s="11">
        <f t="shared" si="0"/>
        <v>4.5457132755863598E-2</v>
      </c>
      <c r="G12" s="12">
        <v>16025</v>
      </c>
      <c r="H12" s="12">
        <f>SQRT(SUMSQ(G12,31680))</f>
        <v>35502.436888191209</v>
      </c>
      <c r="I12" s="11">
        <f t="shared" si="1"/>
        <v>1.269252805349511E-3</v>
      </c>
      <c r="J12" s="14">
        <f t="shared" si="2"/>
        <v>7.7158225249210398E-4</v>
      </c>
      <c r="K12" s="14">
        <f t="shared" si="3"/>
        <v>1.6973843392983825E-2</v>
      </c>
      <c r="L12" s="14">
        <f t="shared" si="4"/>
        <v>4.6726385561213106E-2</v>
      </c>
      <c r="M12" s="14">
        <f t="shared" si="5"/>
        <v>4.418787995051409E-2</v>
      </c>
      <c r="N12" s="8"/>
      <c r="O12" s="8"/>
      <c r="P12" s="10">
        <v>6.4856317595275062E-2</v>
      </c>
      <c r="Q12" s="10">
        <v>6.6159651055785806E-2</v>
      </c>
      <c r="R12" s="10">
        <v>6.3552984134764318E-2</v>
      </c>
      <c r="S12" s="8"/>
      <c r="T12" s="8"/>
      <c r="U12" s="8"/>
      <c r="V12" s="8"/>
      <c r="W12" s="8"/>
      <c r="X12" s="8"/>
      <c r="Y12" s="8"/>
      <c r="Z12" s="8"/>
      <c r="AA12" s="8"/>
    </row>
    <row r="13" spans="1:31" x14ac:dyDescent="0.25">
      <c r="A13" s="2"/>
      <c r="B13" s="9" t="s">
        <v>3</v>
      </c>
      <c r="C13" s="9"/>
      <c r="D13" s="12"/>
      <c r="E13" s="12"/>
      <c r="F13" s="11"/>
      <c r="G13" s="12"/>
      <c r="H13" s="12"/>
      <c r="I13" s="11"/>
      <c r="J13" s="14"/>
      <c r="K13" s="14"/>
      <c r="L13" s="14"/>
      <c r="M13" s="14"/>
      <c r="N13" s="8"/>
      <c r="O13" s="8"/>
      <c r="P13" s="10"/>
      <c r="Q13" s="10"/>
      <c r="R13" s="10"/>
      <c r="S13" s="8"/>
      <c r="T13" s="8"/>
      <c r="U13" s="8"/>
      <c r="V13" s="8"/>
      <c r="W13" s="8"/>
      <c r="X13" s="8"/>
      <c r="Y13" s="8"/>
      <c r="Z13" s="8"/>
      <c r="AA13" s="8"/>
    </row>
    <row r="14" spans="1:31" x14ac:dyDescent="0.25">
      <c r="A14" s="3"/>
      <c r="B14" s="7"/>
      <c r="C14" s="9" t="s">
        <v>6</v>
      </c>
      <c r="D14" s="12">
        <v>957301</v>
      </c>
      <c r="E14" s="12">
        <v>8559999</v>
      </c>
      <c r="F14" s="11">
        <f>D14/E14</f>
        <v>0.11183424203671052</v>
      </c>
      <c r="G14" s="12">
        <v>18722</v>
      </c>
      <c r="H14" s="12">
        <f>SQRT(SUMSQ(G14,40592))</f>
        <v>44701.496037604826</v>
      </c>
      <c r="I14" s="11">
        <f t="shared" si="1"/>
        <v>2.107736232362429E-3</v>
      </c>
      <c r="J14" s="14">
        <f t="shared" si="2"/>
        <v>1.2812986214969172E-3</v>
      </c>
      <c r="K14" s="14">
        <f t="shared" si="3"/>
        <v>1.145712259646129E-2</v>
      </c>
      <c r="L14" s="14">
        <f t="shared" si="4"/>
        <v>0.11394197826907296</v>
      </c>
      <c r="M14" s="14">
        <f t="shared" si="5"/>
        <v>0.10972650580434809</v>
      </c>
      <c r="N14" s="8"/>
      <c r="O14" s="8"/>
      <c r="P14" s="10">
        <v>0.17334763491212207</v>
      </c>
      <c r="Q14" s="10">
        <v>0.17600056281802931</v>
      </c>
      <c r="R14" s="10">
        <v>0.17069470700621484</v>
      </c>
      <c r="S14" s="8"/>
      <c r="T14" s="8"/>
      <c r="U14" s="8"/>
      <c r="V14" s="8"/>
      <c r="W14" s="8"/>
      <c r="X14" s="8"/>
      <c r="Y14" s="8"/>
      <c r="Z14" s="8"/>
      <c r="AA14" s="8"/>
    </row>
    <row r="15" spans="1:31" x14ac:dyDescent="0.25">
      <c r="A15" s="3"/>
      <c r="B15" s="7"/>
      <c r="C15" s="9" t="s">
        <v>7</v>
      </c>
      <c r="D15" s="12">
        <v>6495656</v>
      </c>
      <c r="E15" s="12">
        <v>144724674</v>
      </c>
      <c r="F15" s="11">
        <f>D15/E15</f>
        <v>4.4882851143959047E-2</v>
      </c>
      <c r="G15" s="12">
        <v>48875</v>
      </c>
      <c r="H15" s="12">
        <f>SQRT(SUMSQ(G15,108632))</f>
        <v>119120.43086305556</v>
      </c>
      <c r="I15" s="11">
        <f t="shared" si="1"/>
        <v>3.3568355788871741E-4</v>
      </c>
      <c r="J15" s="14">
        <f t="shared" si="2"/>
        <v>2.0406295312384038E-4</v>
      </c>
      <c r="K15" s="14">
        <f t="shared" si="3"/>
        <v>4.546568409152991E-3</v>
      </c>
      <c r="L15" s="14">
        <f t="shared" si="4"/>
        <v>4.5218534701847765E-2</v>
      </c>
      <c r="M15" s="14">
        <f t="shared" si="5"/>
        <v>4.454716758607033E-2</v>
      </c>
      <c r="N15" s="8"/>
      <c r="O15" s="8"/>
      <c r="P15" s="10">
        <v>7.7892433045359172E-2</v>
      </c>
      <c r="Q15" s="10">
        <v>7.8298839405919488E-2</v>
      </c>
      <c r="R15" s="10">
        <v>7.7486026684798856E-2</v>
      </c>
      <c r="S15" s="8"/>
      <c r="T15" s="8"/>
      <c r="U15" s="8"/>
      <c r="V15" s="8"/>
      <c r="W15" s="8"/>
      <c r="X15" s="8"/>
      <c r="Y15" s="8"/>
      <c r="Z15" s="8"/>
      <c r="AA15" s="8"/>
    </row>
    <row r="16" spans="1:31" ht="88.5" customHeight="1" x14ac:dyDescent="0.25">
      <c r="A16" s="1" t="s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spans="1:31" x14ac:dyDescent="0.25">
      <c r="A17" s="3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spans="1:3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7"/>
      <c r="M18" s="7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x14ac:dyDescent="0.25">
      <c r="A19" s="2" t="s">
        <v>4</v>
      </c>
      <c r="B19" s="7"/>
      <c r="C19" s="7"/>
      <c r="D19" s="7"/>
      <c r="E19" s="8"/>
      <c r="F19" s="8"/>
      <c r="G19" s="8"/>
      <c r="I19" t="s">
        <v>6</v>
      </c>
      <c r="J19" t="s">
        <v>7</v>
      </c>
      <c r="K19" s="8"/>
      <c r="L19" s="7"/>
      <c r="M19" s="7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x14ac:dyDescent="0.25">
      <c r="A20" s="3"/>
      <c r="B20" s="7" t="s">
        <v>9</v>
      </c>
      <c r="C20" s="7"/>
      <c r="D20" s="7"/>
      <c r="E20" s="8"/>
      <c r="F20" s="8"/>
      <c r="G20" s="8"/>
      <c r="H20" t="s">
        <v>0</v>
      </c>
      <c r="I20" s="5">
        <f>F5</f>
        <v>8.8287436473230119E-2</v>
      </c>
      <c r="J20" s="5">
        <f>F6</f>
        <v>3.4113976648819495E-2</v>
      </c>
      <c r="K20" s="8"/>
      <c r="L20" s="7"/>
      <c r="M20" s="7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x14ac:dyDescent="0.25">
      <c r="A21" s="3"/>
      <c r="B21" s="7"/>
      <c r="C21" s="7" t="s">
        <v>10</v>
      </c>
      <c r="D21" s="7"/>
      <c r="E21" s="8"/>
      <c r="F21" s="8"/>
      <c r="G21" s="8"/>
      <c r="H21" t="s">
        <v>22</v>
      </c>
      <c r="I21" s="5">
        <f>F8</f>
        <v>0.10395811380400422</v>
      </c>
      <c r="J21" s="5">
        <f>F9</f>
        <v>3.8938062846980905E-2</v>
      </c>
      <c r="K21" s="8"/>
      <c r="L21" s="7"/>
      <c r="M21" s="7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x14ac:dyDescent="0.25">
      <c r="A22" s="3"/>
      <c r="B22" s="7"/>
      <c r="C22" s="7"/>
      <c r="D22" s="7"/>
      <c r="E22" s="8"/>
      <c r="F22" s="8"/>
      <c r="G22" s="8"/>
      <c r="H22" t="s">
        <v>2</v>
      </c>
      <c r="I22" s="5">
        <f>F11</f>
        <v>0.10168886709705538</v>
      </c>
      <c r="J22" s="5">
        <f>F12</f>
        <v>4.5457132755863598E-2</v>
      </c>
      <c r="K22" s="8"/>
      <c r="L22" s="7"/>
      <c r="M22" s="7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spans="1:31" x14ac:dyDescent="0.25">
      <c r="B23" s="8"/>
      <c r="C23" s="8"/>
      <c r="D23" s="8"/>
      <c r="E23" s="8"/>
      <c r="F23" s="8"/>
      <c r="G23" s="8"/>
      <c r="H23" t="s">
        <v>3</v>
      </c>
      <c r="I23" s="5">
        <f>F14</f>
        <v>0.11183424203671052</v>
      </c>
      <c r="J23" s="5">
        <f>F15</f>
        <v>4.4882851143959047E-2</v>
      </c>
      <c r="K23" s="8"/>
      <c r="L23" s="7"/>
      <c r="M23" s="7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spans="1:3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spans="1:31" x14ac:dyDescent="0.2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1:31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</row>
    <row r="28" spans="1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spans="1:3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spans="1:3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spans="1:3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spans="1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spans="2:3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spans="2:3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spans="2:3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spans="2:3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</row>
    <row r="37" spans="2:3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</row>
    <row r="38" spans="2:3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</row>
    <row r="39" spans="2:3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</row>
    <row r="40" spans="2:3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</row>
    <row r="41" spans="2:3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</row>
    <row r="42" spans="2:3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</row>
    <row r="43" spans="2:3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</row>
    <row r="44" spans="2:3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</row>
    <row r="45" spans="2:3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spans="2:3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spans="2:3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</row>
    <row r="48" spans="2:3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</row>
    <row r="49" spans="2:3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spans="2:3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</row>
    <row r="51" spans="2:3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</row>
    <row r="52" spans="2:3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</row>
    <row r="53" spans="2:3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</row>
    <row r="54" spans="2:3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</row>
    <row r="55" spans="2:3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</row>
    <row r="56" spans="2:3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</row>
    <row r="57" spans="2:3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</row>
    <row r="58" spans="2:3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</row>
    <row r="59" spans="2:3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</row>
    <row r="60" spans="2:3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</row>
    <row r="61" spans="2:31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</row>
    <row r="62" spans="2:31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</row>
    <row r="63" spans="2:31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</row>
    <row r="64" spans="2:3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</row>
    <row r="65" spans="2:31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</row>
    <row r="66" spans="2:31" x14ac:dyDescent="0.2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</row>
    <row r="67" spans="2:31" x14ac:dyDescent="0.2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</row>
    <row r="68" spans="2:31" x14ac:dyDescent="0.2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</row>
    <row r="69" spans="2:31" x14ac:dyDescent="0.2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</row>
    <row r="70" spans="2:31" x14ac:dyDescent="0.2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</row>
    <row r="71" spans="2:31" x14ac:dyDescent="0.2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</row>
    <row r="72" spans="2:31" x14ac:dyDescent="0.2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</row>
    <row r="73" spans="2:31" x14ac:dyDescent="0.2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</row>
    <row r="74" spans="2:31" x14ac:dyDescent="0.2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</row>
    <row r="75" spans="2:31" x14ac:dyDescent="0.2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</row>
    <row r="76" spans="2:31" x14ac:dyDescent="0.2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</row>
    <row r="77" spans="2:31" x14ac:dyDescent="0.2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</row>
    <row r="78" spans="2:31" x14ac:dyDescent="0.2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</row>
    <row r="79" spans="2:31" x14ac:dyDescent="0.2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</row>
    <row r="80" spans="2:31" x14ac:dyDescent="0.2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</row>
    <row r="81" spans="2:31" x14ac:dyDescent="0.2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</row>
    <row r="82" spans="2:31" x14ac:dyDescent="0.2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</row>
    <row r="83" spans="2:31" x14ac:dyDescent="0.2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</row>
    <row r="84" spans="2:31" x14ac:dyDescent="0.2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</row>
    <row r="85" spans="2:31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</row>
    <row r="86" spans="2:31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2:31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spans="2:31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2:31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spans="2:31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2:31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spans="2:31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spans="2:31" x14ac:dyDescent="0.2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spans="2:31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spans="2:31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spans="2:31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spans="2:31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spans="2:31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spans="2:31" x14ac:dyDescent="0.2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spans="2:31" x14ac:dyDescent="0.2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spans="2:31" x14ac:dyDescent="0.2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spans="2:3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spans="2:31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spans="2:31" x14ac:dyDescent="0.2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spans="2:31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spans="2:31" x14ac:dyDescent="0.2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2:31" x14ac:dyDescent="0.2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spans="2:31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</row>
    <row r="109" spans="2:31" x14ac:dyDescent="0.2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spans="2:31" x14ac:dyDescent="0.2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</row>
    <row r="111" spans="2:31" x14ac:dyDescent="0.2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</row>
    <row r="112" spans="2:31" x14ac:dyDescent="0.25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</row>
    <row r="113" spans="2:31" x14ac:dyDescent="0.2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</row>
    <row r="114" spans="2:31" x14ac:dyDescent="0.2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</row>
    <row r="115" spans="2:31" x14ac:dyDescent="0.2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</row>
    <row r="116" spans="2:31" x14ac:dyDescent="0.2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spans="2:31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spans="2:31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spans="2:31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0" spans="2:31" x14ac:dyDescent="0.2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spans="2:31" x14ac:dyDescent="0.2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</row>
    <row r="122" spans="2:31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</row>
    <row r="123" spans="2:31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spans="2:31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spans="2:31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spans="2:31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spans="2:31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spans="2:31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spans="2:31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spans="2:31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spans="2:31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spans="2:31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spans="2:31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pans="2:31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spans="2:31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spans="2:31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2:31" x14ac:dyDescent="0.2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spans="2:31" x14ac:dyDescent="0.2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spans="2:31" x14ac:dyDescent="0.25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spans="2:31" x14ac:dyDescent="0.25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spans="2:31" x14ac:dyDescent="0.25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spans="2:31" x14ac:dyDescent="0.2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spans="2:31" x14ac:dyDescent="0.2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spans="2:31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spans="2:31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spans="2:31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spans="2:31" x14ac:dyDescent="0.2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spans="2:31" x14ac:dyDescent="0.2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spans="2:31" x14ac:dyDescent="0.2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spans="2:31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spans="2:31" x14ac:dyDescent="0.25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spans="2:31" x14ac:dyDescent="0.25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spans="2:31" x14ac:dyDescent="0.2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spans="2:31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spans="2:31" x14ac:dyDescent="0.25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spans="2:31" x14ac:dyDescent="0.25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spans="2:31" x14ac:dyDescent="0.25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spans="2:31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spans="2:31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</sheetData>
  <pageMargins left="0.7" right="0.7" top="0.75" bottom="0.75" header="0.3" footer="0.3"/>
  <pageSetup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91FBD-6019-4E97-BED5-7CC8344497C9}">
  <dimension ref="A1:AE159"/>
  <sheetViews>
    <sheetView zoomScale="60" zoomScaleNormal="60" workbookViewId="0">
      <selection activeCell="H19" sqref="H19:J23"/>
    </sheetView>
  </sheetViews>
  <sheetFormatPr defaultColWidth="8.85546875" defaultRowHeight="15" x14ac:dyDescent="0.25"/>
  <cols>
    <col min="1" max="1" width="64.42578125" customWidth="1"/>
    <col min="2" max="2" width="23.85546875" customWidth="1"/>
    <col min="3" max="3" width="15.42578125" customWidth="1"/>
    <col min="4" max="4" width="17.140625" customWidth="1"/>
    <col min="5" max="5" width="18.7109375" customWidth="1"/>
    <col min="6" max="6" width="8.85546875" customWidth="1"/>
    <col min="7" max="7" width="10.5703125" customWidth="1"/>
    <col min="8" max="8" width="13.28515625" customWidth="1"/>
    <col min="9" max="9" width="13.140625" customWidth="1"/>
    <col min="11" max="11" width="11.28515625" customWidth="1"/>
    <col min="12" max="12" width="12.42578125" customWidth="1"/>
    <col min="13" max="13" width="12" customWidth="1"/>
    <col min="16" max="16" width="14.42578125" customWidth="1"/>
    <col min="17" max="17" width="13.85546875" customWidth="1"/>
    <col min="20" max="23" width="0" hidden="1" customWidth="1"/>
  </cols>
  <sheetData>
    <row r="1" spans="1:31" x14ac:dyDescent="0.25">
      <c r="A1" s="4" t="s">
        <v>5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x14ac:dyDescent="0.25">
      <c r="A2" s="2"/>
      <c r="B2" s="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x14ac:dyDescent="0.25">
      <c r="A3" s="2"/>
      <c r="B3" s="6"/>
      <c r="C3" s="6"/>
      <c r="D3" s="6" t="s">
        <v>18</v>
      </c>
      <c r="E3" s="6" t="s">
        <v>19</v>
      </c>
      <c r="F3" s="6">
        <v>2017</v>
      </c>
      <c r="G3" s="7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  <c r="M3" s="8" t="s">
        <v>17</v>
      </c>
      <c r="N3" s="8"/>
      <c r="O3" s="8"/>
      <c r="P3" s="6">
        <v>2013</v>
      </c>
      <c r="Q3" s="7" t="s">
        <v>20</v>
      </c>
      <c r="R3" s="7" t="s">
        <v>21</v>
      </c>
      <c r="S3" s="8"/>
      <c r="T3" s="8"/>
      <c r="U3" s="8"/>
      <c r="V3" s="8"/>
      <c r="W3" s="8"/>
      <c r="X3" s="8"/>
      <c r="Y3" s="8"/>
      <c r="Z3" s="8"/>
      <c r="AA3" s="8"/>
    </row>
    <row r="4" spans="1:31" x14ac:dyDescent="0.25">
      <c r="A4" s="2"/>
      <c r="B4" s="9" t="s">
        <v>0</v>
      </c>
      <c r="C4" s="9"/>
      <c r="D4" s="12"/>
      <c r="E4" s="12"/>
      <c r="F4" s="11"/>
      <c r="G4" s="12"/>
      <c r="H4" s="12"/>
      <c r="I4" s="11"/>
      <c r="J4" s="14"/>
      <c r="K4" s="14"/>
      <c r="L4" s="14"/>
      <c r="M4" s="14"/>
      <c r="N4" s="8"/>
      <c r="O4" s="8"/>
      <c r="P4" s="10"/>
      <c r="Q4" s="10"/>
      <c r="R4" s="10"/>
      <c r="S4" s="8"/>
      <c r="T4" s="8"/>
      <c r="U4" s="8"/>
      <c r="V4" s="8"/>
      <c r="W4" s="8"/>
      <c r="X4" s="8"/>
      <c r="Y4" s="8"/>
      <c r="Z4" s="8"/>
      <c r="AA4" s="8"/>
    </row>
    <row r="5" spans="1:31" x14ac:dyDescent="0.25">
      <c r="A5" s="2"/>
      <c r="B5" s="9"/>
      <c r="C5" s="9" t="s">
        <v>6</v>
      </c>
      <c r="D5" s="13">
        <v>1669</v>
      </c>
      <c r="E5" s="12">
        <v>35281</v>
      </c>
      <c r="F5" s="11">
        <f t="shared" ref="F5:F12" si="0">D5/E5</f>
        <v>4.7305915365210734E-2</v>
      </c>
      <c r="G5" s="12">
        <v>642</v>
      </c>
      <c r="H5" s="12">
        <f>SQRT(SUMSQ(G5,2915))</f>
        <v>2984.859963214355</v>
      </c>
      <c r="I5" s="11">
        <f t="shared" ref="I5:I15" si="1">SQRT(G5^2-(F5^2*H5^2))/E5</f>
        <v>1.7751185959141522E-2</v>
      </c>
      <c r="J5" s="14">
        <f t="shared" ref="J5:J15" si="2">I5/1.645</f>
        <v>1.07909945040374E-2</v>
      </c>
      <c r="K5" s="15">
        <f t="shared" ref="K5:K15" si="3">J5/F5</f>
        <v>0.22811089101075108</v>
      </c>
      <c r="L5" s="14">
        <f t="shared" ref="L5:L15" si="4">F5+I5</f>
        <v>6.5057101324352259E-2</v>
      </c>
      <c r="M5" s="14">
        <f t="shared" ref="M5:M15" si="5">F5-I5</f>
        <v>2.9554729406069211E-2</v>
      </c>
      <c r="N5" s="8"/>
      <c r="O5" s="8"/>
      <c r="P5" s="10">
        <v>0.1618548149733765</v>
      </c>
      <c r="Q5" s="10">
        <v>0.19092818219509877</v>
      </c>
      <c r="R5" s="10">
        <v>0.13278144775165424</v>
      </c>
      <c r="S5" s="8"/>
      <c r="T5" s="8"/>
      <c r="U5" s="8"/>
      <c r="V5" s="8"/>
      <c r="W5" s="8"/>
      <c r="X5" s="8"/>
      <c r="Y5" s="8"/>
      <c r="Z5" s="8"/>
      <c r="AA5" s="8"/>
    </row>
    <row r="6" spans="1:31" x14ac:dyDescent="0.25">
      <c r="A6" s="2"/>
      <c r="B6" s="9"/>
      <c r="C6" s="9" t="s">
        <v>7</v>
      </c>
      <c r="D6" s="13">
        <v>20840</v>
      </c>
      <c r="E6" s="12">
        <v>645021</v>
      </c>
      <c r="F6" s="11">
        <f t="shared" si="0"/>
        <v>3.2309025597616205E-2</v>
      </c>
      <c r="G6" s="12">
        <v>3470</v>
      </c>
      <c r="H6" s="12">
        <f>SQRT(SUMSQ(G6,8182))</f>
        <v>8887.4081711149065</v>
      </c>
      <c r="I6" s="11">
        <f t="shared" si="1"/>
        <v>5.3612192286768062E-3</v>
      </c>
      <c r="J6" s="14">
        <f t="shared" si="2"/>
        <v>3.2590998350618882E-3</v>
      </c>
      <c r="K6" s="14">
        <f t="shared" si="3"/>
        <v>0.10087273679037687</v>
      </c>
      <c r="L6" s="14">
        <f t="shared" si="4"/>
        <v>3.7670244826293012E-2</v>
      </c>
      <c r="M6" s="14">
        <f t="shared" si="5"/>
        <v>2.6947806368939398E-2</v>
      </c>
      <c r="N6" s="8"/>
      <c r="O6" s="8"/>
      <c r="P6" s="10">
        <v>5.379517421862548E-2</v>
      </c>
      <c r="Q6" s="10">
        <v>5.8562940161913275E-2</v>
      </c>
      <c r="R6" s="10">
        <v>4.9027408275337685E-2</v>
      </c>
      <c r="S6" s="8"/>
      <c r="T6" s="8"/>
      <c r="U6" s="8"/>
      <c r="V6" s="8"/>
      <c r="W6" s="8"/>
      <c r="X6" s="8"/>
      <c r="Y6" s="8"/>
      <c r="Z6" s="8"/>
      <c r="AA6" s="8"/>
    </row>
    <row r="7" spans="1:31" x14ac:dyDescent="0.25">
      <c r="A7" s="2"/>
      <c r="B7" s="9" t="s">
        <v>1</v>
      </c>
      <c r="C7" s="9"/>
      <c r="D7" s="12"/>
      <c r="E7" s="12"/>
      <c r="F7" s="11"/>
      <c r="G7" s="12"/>
      <c r="H7" s="12"/>
      <c r="I7" s="11"/>
      <c r="J7" s="14"/>
      <c r="K7" s="14"/>
      <c r="L7" s="14"/>
      <c r="M7" s="14"/>
      <c r="N7" s="8"/>
      <c r="O7" s="8"/>
      <c r="P7" s="10"/>
      <c r="Q7" s="10"/>
      <c r="R7" s="10"/>
      <c r="S7" s="8"/>
      <c r="T7" s="8"/>
      <c r="U7" s="8"/>
      <c r="V7" s="8"/>
      <c r="W7" s="8"/>
      <c r="X7" s="8"/>
      <c r="Y7" s="8"/>
      <c r="Z7" s="8"/>
      <c r="AA7" s="8"/>
    </row>
    <row r="8" spans="1:31" x14ac:dyDescent="0.25">
      <c r="A8" s="2"/>
      <c r="B8" s="9"/>
      <c r="C8" s="9" t="s">
        <v>6</v>
      </c>
      <c r="D8" s="13">
        <v>3642</v>
      </c>
      <c r="E8" s="12">
        <v>59878</v>
      </c>
      <c r="F8" s="11">
        <f t="shared" si="0"/>
        <v>6.0823674805437725E-2</v>
      </c>
      <c r="G8" s="12">
        <v>1651</v>
      </c>
      <c r="H8" s="12">
        <f>SQRT(SUMSQ(G8,4745))</f>
        <v>5024.0248805116398</v>
      </c>
      <c r="I8" s="11">
        <f t="shared" si="1"/>
        <v>2.709633019828081E-2</v>
      </c>
      <c r="J8" s="14">
        <f t="shared" si="2"/>
        <v>1.6471933251234534E-2</v>
      </c>
      <c r="K8" s="17">
        <f t="shared" si="3"/>
        <v>0.27081450280544245</v>
      </c>
      <c r="L8" s="14">
        <f t="shared" si="4"/>
        <v>8.7920005003718535E-2</v>
      </c>
      <c r="M8" s="14">
        <f t="shared" si="5"/>
        <v>3.3727344607156914E-2</v>
      </c>
      <c r="N8" s="8"/>
      <c r="O8" s="8"/>
      <c r="P8" s="10">
        <v>0.13831927374773892</v>
      </c>
      <c r="Q8" s="10">
        <v>0.16200881713201531</v>
      </c>
      <c r="R8" s="10">
        <v>0.11462973036346252</v>
      </c>
      <c r="S8" s="8"/>
      <c r="T8" s="8"/>
      <c r="U8" s="8"/>
      <c r="V8" s="8"/>
      <c r="W8" s="8"/>
      <c r="X8" s="8"/>
      <c r="Y8" s="8"/>
      <c r="Z8" s="8"/>
      <c r="AA8" s="8"/>
    </row>
    <row r="9" spans="1:31" x14ac:dyDescent="0.25">
      <c r="A9" s="2"/>
      <c r="B9" s="9"/>
      <c r="C9" s="9" t="s">
        <v>7</v>
      </c>
      <c r="D9" s="13">
        <v>35980</v>
      </c>
      <c r="E9" s="12">
        <v>1054914</v>
      </c>
      <c r="F9" s="11">
        <f t="shared" si="0"/>
        <v>3.4107045692824252E-2</v>
      </c>
      <c r="G9" s="12">
        <v>4447</v>
      </c>
      <c r="H9" s="12">
        <f>SQRT(SUMSQ(G9,10526))</f>
        <v>11426.831800634855</v>
      </c>
      <c r="I9" s="11">
        <f t="shared" si="1"/>
        <v>4.1992890928929409E-3</v>
      </c>
      <c r="J9" s="14">
        <f t="shared" si="2"/>
        <v>2.5527593269865901E-3</v>
      </c>
      <c r="K9" s="14">
        <f t="shared" si="3"/>
        <v>7.4845512859053123E-2</v>
      </c>
      <c r="L9" s="14">
        <f t="shared" si="4"/>
        <v>3.830633478571719E-2</v>
      </c>
      <c r="M9" s="14">
        <f t="shared" si="5"/>
        <v>2.990775659993131E-2</v>
      </c>
      <c r="N9" s="8"/>
      <c r="O9" s="8"/>
      <c r="P9" s="10">
        <v>5.7087623908387938E-2</v>
      </c>
      <c r="Q9" s="10">
        <v>6.1299553533479455E-2</v>
      </c>
      <c r="R9" s="10">
        <v>5.2875694283296422E-2</v>
      </c>
      <c r="S9" s="8"/>
      <c r="T9" s="8"/>
      <c r="U9" s="8"/>
      <c r="V9" s="8"/>
      <c r="W9" s="8"/>
      <c r="X9" s="8"/>
      <c r="Y9" s="8"/>
      <c r="Z9" s="8"/>
      <c r="AA9" s="8"/>
    </row>
    <row r="10" spans="1:31" x14ac:dyDescent="0.25">
      <c r="A10" s="2"/>
      <c r="B10" s="9" t="s">
        <v>2</v>
      </c>
      <c r="C10" s="9"/>
      <c r="D10" s="12"/>
      <c r="E10" s="12"/>
      <c r="F10" s="11"/>
      <c r="G10" s="12"/>
      <c r="H10" s="12"/>
      <c r="I10" s="11"/>
      <c r="J10" s="14"/>
      <c r="K10" s="14"/>
      <c r="L10" s="14"/>
      <c r="M10" s="14"/>
      <c r="N10" s="8"/>
      <c r="O10" s="8"/>
      <c r="P10" s="10"/>
      <c r="Q10" s="10"/>
      <c r="R10" s="10"/>
      <c r="S10" s="8"/>
      <c r="T10" s="8"/>
      <c r="U10" s="8"/>
      <c r="V10" s="8"/>
      <c r="W10" s="8"/>
      <c r="X10" s="8"/>
      <c r="Y10" s="8"/>
      <c r="Z10" s="8"/>
      <c r="AA10" s="8"/>
    </row>
    <row r="11" spans="1:31" x14ac:dyDescent="0.25">
      <c r="A11" s="2"/>
      <c r="B11" s="9"/>
      <c r="C11" s="9" t="s">
        <v>6</v>
      </c>
      <c r="D11" s="13">
        <v>77170</v>
      </c>
      <c r="E11" s="12">
        <v>725147</v>
      </c>
      <c r="F11" s="11">
        <f t="shared" si="0"/>
        <v>0.10641980177812223</v>
      </c>
      <c r="G11" s="12">
        <v>5222</v>
      </c>
      <c r="H11" s="12">
        <f>SQRT(SUMSQ(G11,16169))</f>
        <v>16991.346179746914</v>
      </c>
      <c r="I11" s="11">
        <f t="shared" si="1"/>
        <v>6.7557926104380309E-3</v>
      </c>
      <c r="J11" s="14">
        <f t="shared" si="2"/>
        <v>4.1068648087769187E-3</v>
      </c>
      <c r="K11" s="14">
        <f t="shared" si="3"/>
        <v>3.8591171381238257E-2</v>
      </c>
      <c r="L11" s="14">
        <f t="shared" si="4"/>
        <v>0.11317559438856026</v>
      </c>
      <c r="M11" s="14">
        <f t="shared" si="5"/>
        <v>9.9664009167684198E-2</v>
      </c>
      <c r="N11" s="8"/>
      <c r="O11" s="8"/>
      <c r="P11" s="10">
        <v>0.14350753189601437</v>
      </c>
      <c r="Q11" s="10">
        <v>0.15070451284084194</v>
      </c>
      <c r="R11" s="10">
        <v>0.1363105509511868</v>
      </c>
      <c r="S11" s="8"/>
      <c r="T11" s="8"/>
      <c r="U11" s="8"/>
      <c r="V11" s="8"/>
      <c r="W11" s="8"/>
      <c r="X11" s="8"/>
      <c r="Y11" s="8"/>
      <c r="Z11" s="8"/>
      <c r="AA11" s="8"/>
    </row>
    <row r="12" spans="1:31" x14ac:dyDescent="0.25">
      <c r="A12" s="2"/>
      <c r="B12" s="9"/>
      <c r="C12" s="9" t="s">
        <v>7</v>
      </c>
      <c r="D12" s="13">
        <v>582071</v>
      </c>
      <c r="E12" s="12">
        <v>12344664</v>
      </c>
      <c r="F12" s="11">
        <f t="shared" si="0"/>
        <v>4.7151627618216257E-2</v>
      </c>
      <c r="G12" s="12">
        <v>16025</v>
      </c>
      <c r="H12" s="12">
        <f>SQRT(SUMSQ(G12,31680))</f>
        <v>35502.436888191209</v>
      </c>
      <c r="I12" s="11">
        <f t="shared" si="1"/>
        <v>1.2910295409615854E-3</v>
      </c>
      <c r="J12" s="14">
        <f t="shared" si="2"/>
        <v>7.8482038964230116E-4</v>
      </c>
      <c r="K12" s="14">
        <f t="shared" si="3"/>
        <v>1.6644608665409011E-2</v>
      </c>
      <c r="L12" s="14">
        <f t="shared" si="4"/>
        <v>4.8442657159177845E-2</v>
      </c>
      <c r="M12" s="14">
        <f t="shared" si="5"/>
        <v>4.586059807725467E-2</v>
      </c>
      <c r="N12" s="8"/>
      <c r="O12" s="8"/>
      <c r="P12" s="10">
        <v>6.4856317595275062E-2</v>
      </c>
      <c r="Q12" s="10">
        <v>6.6159651055785806E-2</v>
      </c>
      <c r="R12" s="10">
        <v>6.3552984134764318E-2</v>
      </c>
      <c r="S12" s="8"/>
      <c r="T12" s="8"/>
      <c r="U12" s="8"/>
      <c r="V12" s="8"/>
      <c r="W12" s="8"/>
      <c r="X12" s="8"/>
      <c r="Y12" s="8"/>
      <c r="Z12" s="8"/>
      <c r="AA12" s="8"/>
    </row>
    <row r="13" spans="1:31" x14ac:dyDescent="0.25">
      <c r="A13" s="2"/>
      <c r="B13" s="9" t="s">
        <v>3</v>
      </c>
      <c r="C13" s="9"/>
      <c r="D13" s="12"/>
      <c r="E13" s="12"/>
      <c r="F13" s="11"/>
      <c r="G13" s="12"/>
      <c r="H13" s="12"/>
      <c r="I13" s="11"/>
      <c r="J13" s="14"/>
      <c r="K13" s="14"/>
      <c r="L13" s="14"/>
      <c r="M13" s="14"/>
      <c r="N13" s="8"/>
      <c r="O13" s="8"/>
      <c r="P13" s="10"/>
      <c r="Q13" s="10"/>
      <c r="R13" s="10"/>
      <c r="S13" s="8"/>
      <c r="T13" s="8"/>
      <c r="U13" s="8"/>
      <c r="V13" s="8"/>
      <c r="W13" s="8"/>
      <c r="X13" s="8"/>
      <c r="Y13" s="8"/>
      <c r="Z13" s="8"/>
      <c r="AA13" s="8"/>
    </row>
    <row r="14" spans="1:31" x14ac:dyDescent="0.25">
      <c r="A14" s="3"/>
      <c r="B14" s="7"/>
      <c r="C14" s="9" t="s">
        <v>6</v>
      </c>
      <c r="D14" s="12">
        <v>1019059</v>
      </c>
      <c r="E14" s="12">
        <v>8591864</v>
      </c>
      <c r="F14" s="11">
        <f>D14/E14</f>
        <v>0.11860744071367983</v>
      </c>
      <c r="G14" s="12">
        <v>18722</v>
      </c>
      <c r="H14" s="12">
        <f>SQRT(SUMSQ(G14,40592))</f>
        <v>44701.496037604826</v>
      </c>
      <c r="I14" s="11">
        <f t="shared" si="1"/>
        <v>2.0898351194207601E-3</v>
      </c>
      <c r="J14" s="14">
        <f t="shared" si="2"/>
        <v>1.2704164859700668E-3</v>
      </c>
      <c r="K14" s="14">
        <f t="shared" si="3"/>
        <v>1.0711102763247979E-2</v>
      </c>
      <c r="L14" s="14">
        <f t="shared" si="4"/>
        <v>0.1206972758331006</v>
      </c>
      <c r="M14" s="14">
        <f t="shared" si="5"/>
        <v>0.11651760559425907</v>
      </c>
      <c r="N14" s="8"/>
      <c r="O14" s="8"/>
      <c r="P14" s="10">
        <v>0.17334763491212207</v>
      </c>
      <c r="Q14" s="10">
        <v>0.17600056281802931</v>
      </c>
      <c r="R14" s="10">
        <v>0.17069470700621484</v>
      </c>
      <c r="S14" s="8"/>
      <c r="T14" s="8"/>
      <c r="U14" s="8"/>
      <c r="V14" s="8"/>
      <c r="W14" s="8"/>
      <c r="X14" s="8"/>
      <c r="Y14" s="8"/>
      <c r="Z14" s="8"/>
      <c r="AA14" s="8"/>
    </row>
    <row r="15" spans="1:31" x14ac:dyDescent="0.25">
      <c r="A15" s="3"/>
      <c r="B15" s="7"/>
      <c r="C15" s="9" t="s">
        <v>7</v>
      </c>
      <c r="D15" s="12">
        <v>6937725</v>
      </c>
      <c r="E15" s="12">
        <v>143897994</v>
      </c>
      <c r="F15" s="11">
        <f>D15/E15</f>
        <v>4.8212798574523562E-2</v>
      </c>
      <c r="G15" s="12">
        <v>48875</v>
      </c>
      <c r="H15" s="12">
        <f>SQRT(SUMSQ(G15,108632))</f>
        <v>119120.43086305556</v>
      </c>
      <c r="I15" s="11">
        <f t="shared" si="1"/>
        <v>3.3729726380963702E-4</v>
      </c>
      <c r="J15" s="14">
        <f t="shared" si="2"/>
        <v>2.050439293675605E-4</v>
      </c>
      <c r="K15" s="14">
        <f t="shared" si="3"/>
        <v>4.25289415735989E-3</v>
      </c>
      <c r="L15" s="14">
        <f t="shared" si="4"/>
        <v>4.8550095838333196E-2</v>
      </c>
      <c r="M15" s="14">
        <f t="shared" si="5"/>
        <v>4.7875501310713928E-2</v>
      </c>
      <c r="N15" s="8"/>
      <c r="O15" s="8"/>
      <c r="P15" s="10">
        <v>7.7892433045359172E-2</v>
      </c>
      <c r="Q15" s="10">
        <v>7.8298839405919488E-2</v>
      </c>
      <c r="R15" s="10">
        <v>7.7486026684798856E-2</v>
      </c>
      <c r="S15" s="8"/>
      <c r="T15" s="8"/>
      <c r="U15" s="8"/>
      <c r="V15" s="8"/>
      <c r="W15" s="8"/>
      <c r="X15" s="8"/>
      <c r="Y15" s="8"/>
      <c r="Z15" s="8"/>
      <c r="AA15" s="8"/>
    </row>
    <row r="16" spans="1:31" ht="88.5" customHeight="1" x14ac:dyDescent="0.25">
      <c r="A16" s="1" t="s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spans="1:31" x14ac:dyDescent="0.25">
      <c r="A17" s="3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spans="1:3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7"/>
      <c r="M18" s="7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x14ac:dyDescent="0.25">
      <c r="A19" s="2" t="s">
        <v>4</v>
      </c>
      <c r="B19" s="7"/>
      <c r="C19" s="7"/>
      <c r="D19" s="7"/>
      <c r="E19" s="8"/>
      <c r="F19" s="8"/>
      <c r="G19" s="8"/>
      <c r="I19" t="s">
        <v>6</v>
      </c>
      <c r="J19" t="s">
        <v>7</v>
      </c>
      <c r="K19" s="8"/>
      <c r="L19" s="7"/>
      <c r="M19" s="7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x14ac:dyDescent="0.25">
      <c r="A20" s="3"/>
      <c r="B20" s="7" t="s">
        <v>9</v>
      </c>
      <c r="C20" s="7"/>
      <c r="D20" s="7"/>
      <c r="E20" s="8"/>
      <c r="F20" s="8"/>
      <c r="G20" s="8"/>
      <c r="H20" t="s">
        <v>0</v>
      </c>
      <c r="I20" s="5">
        <f>F5</f>
        <v>4.7305915365210734E-2</v>
      </c>
      <c r="J20" s="5">
        <f>F6</f>
        <v>3.2309025597616205E-2</v>
      </c>
      <c r="K20" s="8"/>
      <c r="L20" s="7"/>
      <c r="M20" s="7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x14ac:dyDescent="0.25">
      <c r="A21" s="3"/>
      <c r="B21" s="7"/>
      <c r="C21" s="7" t="s">
        <v>10</v>
      </c>
      <c r="D21" s="7"/>
      <c r="E21" s="8"/>
      <c r="F21" s="8"/>
      <c r="G21" s="8"/>
      <c r="H21" t="s">
        <v>22</v>
      </c>
      <c r="I21" s="5">
        <f>F8</f>
        <v>6.0823674805437725E-2</v>
      </c>
      <c r="J21" s="5">
        <f>F9</f>
        <v>3.4107045692824252E-2</v>
      </c>
      <c r="K21" s="8"/>
      <c r="L21" s="7"/>
      <c r="M21" s="7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x14ac:dyDescent="0.25">
      <c r="A22" s="3"/>
      <c r="B22" s="7"/>
      <c r="C22" s="7"/>
      <c r="D22" s="7"/>
      <c r="E22" s="8"/>
      <c r="F22" s="8"/>
      <c r="G22" s="8"/>
      <c r="H22" t="s">
        <v>2</v>
      </c>
      <c r="I22" s="5">
        <f>F11</f>
        <v>0.10641980177812223</v>
      </c>
      <c r="J22" s="5">
        <f>F12</f>
        <v>4.7151627618216257E-2</v>
      </c>
      <c r="K22" s="8"/>
      <c r="L22" s="7"/>
      <c r="M22" s="7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spans="1:31" x14ac:dyDescent="0.25">
      <c r="B23" s="8"/>
      <c r="C23" s="8"/>
      <c r="D23" s="8"/>
      <c r="E23" s="8"/>
      <c r="F23" s="8"/>
      <c r="G23" s="8"/>
      <c r="H23" t="s">
        <v>3</v>
      </c>
      <c r="I23" s="5">
        <f>F14</f>
        <v>0.11860744071367983</v>
      </c>
      <c r="J23" s="5">
        <f>F15</f>
        <v>4.8212798574523562E-2</v>
      </c>
      <c r="K23" s="8"/>
      <c r="L23" s="7"/>
      <c r="M23" s="7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spans="1:3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spans="1:31" x14ac:dyDescent="0.2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1:31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</row>
    <row r="28" spans="1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spans="1:3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spans="1:3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spans="1:3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spans="1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spans="2:3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spans="2:3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spans="2:3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spans="2:3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</row>
    <row r="37" spans="2:3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</row>
    <row r="38" spans="2:3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</row>
    <row r="39" spans="2:3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</row>
    <row r="40" spans="2:3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</row>
    <row r="41" spans="2:3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</row>
    <row r="42" spans="2:3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</row>
    <row r="43" spans="2:3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</row>
    <row r="44" spans="2:3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</row>
    <row r="45" spans="2:3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spans="2:3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spans="2:3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</row>
    <row r="48" spans="2:3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</row>
    <row r="49" spans="2:3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spans="2:3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</row>
    <row r="51" spans="2:3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</row>
    <row r="52" spans="2:3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</row>
    <row r="53" spans="2:3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</row>
    <row r="54" spans="2:3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</row>
    <row r="55" spans="2:3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</row>
    <row r="56" spans="2:3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</row>
    <row r="57" spans="2:3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</row>
    <row r="58" spans="2:3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</row>
    <row r="59" spans="2:3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</row>
    <row r="60" spans="2:3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</row>
    <row r="61" spans="2:31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</row>
    <row r="62" spans="2:31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</row>
    <row r="63" spans="2:31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</row>
    <row r="64" spans="2:3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</row>
    <row r="65" spans="2:31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</row>
    <row r="66" spans="2:31" x14ac:dyDescent="0.2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</row>
    <row r="67" spans="2:31" x14ac:dyDescent="0.2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</row>
    <row r="68" spans="2:31" x14ac:dyDescent="0.2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</row>
    <row r="69" spans="2:31" x14ac:dyDescent="0.2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</row>
    <row r="70" spans="2:31" x14ac:dyDescent="0.2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</row>
    <row r="71" spans="2:31" x14ac:dyDescent="0.2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</row>
    <row r="72" spans="2:31" x14ac:dyDescent="0.2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</row>
    <row r="73" spans="2:31" x14ac:dyDescent="0.2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</row>
    <row r="74" spans="2:31" x14ac:dyDescent="0.2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</row>
    <row r="75" spans="2:31" x14ac:dyDescent="0.2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</row>
    <row r="76" spans="2:31" x14ac:dyDescent="0.2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</row>
    <row r="77" spans="2:31" x14ac:dyDescent="0.2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</row>
    <row r="78" spans="2:31" x14ac:dyDescent="0.2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</row>
    <row r="79" spans="2:31" x14ac:dyDescent="0.2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</row>
    <row r="80" spans="2:31" x14ac:dyDescent="0.2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</row>
    <row r="81" spans="2:31" x14ac:dyDescent="0.2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</row>
    <row r="82" spans="2:31" x14ac:dyDescent="0.2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</row>
    <row r="83" spans="2:31" x14ac:dyDescent="0.2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</row>
    <row r="84" spans="2:31" x14ac:dyDescent="0.2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</row>
    <row r="85" spans="2:31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</row>
    <row r="86" spans="2:31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2:31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spans="2:31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2:31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spans="2:31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2:31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spans="2:31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spans="2:31" x14ac:dyDescent="0.2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spans="2:31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spans="2:31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spans="2:31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spans="2:31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spans="2:31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spans="2:31" x14ac:dyDescent="0.2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spans="2:31" x14ac:dyDescent="0.2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spans="2:31" x14ac:dyDescent="0.2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spans="2:3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spans="2:31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spans="2:31" x14ac:dyDescent="0.2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spans="2:31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spans="2:31" x14ac:dyDescent="0.2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2:31" x14ac:dyDescent="0.2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spans="2:31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</row>
    <row r="109" spans="2:31" x14ac:dyDescent="0.2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spans="2:31" x14ac:dyDescent="0.2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</row>
    <row r="111" spans="2:31" x14ac:dyDescent="0.2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</row>
    <row r="112" spans="2:31" x14ac:dyDescent="0.25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</row>
    <row r="113" spans="2:31" x14ac:dyDescent="0.2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</row>
    <row r="114" spans="2:31" x14ac:dyDescent="0.2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</row>
    <row r="115" spans="2:31" x14ac:dyDescent="0.2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</row>
    <row r="116" spans="2:31" x14ac:dyDescent="0.2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spans="2:31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spans="2:31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spans="2:31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0" spans="2:31" x14ac:dyDescent="0.2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spans="2:31" x14ac:dyDescent="0.2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</row>
    <row r="122" spans="2:31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</row>
    <row r="123" spans="2:31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spans="2:31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spans="2:31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spans="2:31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spans="2:31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spans="2:31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spans="2:31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spans="2:31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spans="2:31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spans="2:31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spans="2:31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pans="2:31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spans="2:31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spans="2:31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2:31" x14ac:dyDescent="0.2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spans="2:31" x14ac:dyDescent="0.2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spans="2:31" x14ac:dyDescent="0.25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spans="2:31" x14ac:dyDescent="0.25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spans="2:31" x14ac:dyDescent="0.25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spans="2:31" x14ac:dyDescent="0.2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spans="2:31" x14ac:dyDescent="0.2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spans="2:31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spans="2:31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spans="2:31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spans="2:31" x14ac:dyDescent="0.2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spans="2:31" x14ac:dyDescent="0.2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spans="2:31" x14ac:dyDescent="0.2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spans="2:31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spans="2:31" x14ac:dyDescent="0.25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spans="2:31" x14ac:dyDescent="0.25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spans="2:31" x14ac:dyDescent="0.2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spans="2:31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spans="2:31" x14ac:dyDescent="0.25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spans="2:31" x14ac:dyDescent="0.25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spans="2:31" x14ac:dyDescent="0.25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spans="2:31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spans="2:31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</sheetData>
  <pageMargins left="0.7" right="0.7" top="0.75" bottom="0.75" header="0.3" footer="0.3"/>
  <pageSetup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491B-8052-426A-B027-8D05BFC3754E}">
  <dimension ref="A1:AE159"/>
  <sheetViews>
    <sheetView zoomScale="60" zoomScaleNormal="60" workbookViewId="0">
      <selection activeCell="Q18" sqref="Q18"/>
    </sheetView>
  </sheetViews>
  <sheetFormatPr defaultColWidth="8.85546875" defaultRowHeight="15" x14ac:dyDescent="0.25"/>
  <cols>
    <col min="1" max="1" width="64.42578125" customWidth="1"/>
    <col min="2" max="2" width="23.85546875" customWidth="1"/>
    <col min="3" max="3" width="15.42578125" customWidth="1"/>
    <col min="4" max="6" width="8.85546875" hidden="1" customWidth="1"/>
    <col min="7" max="7" width="9.42578125" hidden="1" customWidth="1"/>
    <col min="8" max="8" width="12.28515625" customWidth="1"/>
    <col min="9" max="9" width="13.140625" customWidth="1"/>
    <col min="11" max="11" width="11.28515625" customWidth="1"/>
    <col min="12" max="12" width="12.42578125" customWidth="1"/>
    <col min="13" max="13" width="12" customWidth="1"/>
    <col min="16" max="16" width="14.42578125" customWidth="1"/>
    <col min="17" max="17" width="13.85546875" customWidth="1"/>
    <col min="20" max="23" width="0" hidden="1" customWidth="1"/>
  </cols>
  <sheetData>
    <row r="1" spans="1:31" x14ac:dyDescent="0.25">
      <c r="A1" s="4" t="s">
        <v>5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x14ac:dyDescent="0.25">
      <c r="A2" s="2"/>
      <c r="B2" s="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x14ac:dyDescent="0.25">
      <c r="A3" s="2"/>
      <c r="B3" s="6"/>
      <c r="C3" s="6"/>
      <c r="D3" s="6">
        <v>2008</v>
      </c>
      <c r="E3" s="6">
        <v>2009</v>
      </c>
      <c r="F3" s="6">
        <v>2010</v>
      </c>
      <c r="G3" s="6">
        <v>2011</v>
      </c>
      <c r="H3" s="6" t="s">
        <v>18</v>
      </c>
      <c r="I3" s="6" t="s">
        <v>19</v>
      </c>
      <c r="J3" s="6">
        <v>2016</v>
      </c>
      <c r="K3" s="7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16</v>
      </c>
      <c r="Q3" s="8" t="s">
        <v>17</v>
      </c>
      <c r="R3" s="8"/>
      <c r="S3" s="8"/>
      <c r="T3" s="6">
        <v>2013</v>
      </c>
      <c r="U3" s="7" t="s">
        <v>20</v>
      </c>
      <c r="V3" s="7" t="s">
        <v>21</v>
      </c>
      <c r="W3" s="8"/>
      <c r="X3" s="8"/>
      <c r="Y3" s="8"/>
      <c r="Z3" s="8"/>
      <c r="AA3" s="8"/>
      <c r="AB3" s="8"/>
      <c r="AC3" s="8"/>
      <c r="AD3" s="8"/>
      <c r="AE3" s="8"/>
    </row>
    <row r="4" spans="1:31" x14ac:dyDescent="0.25">
      <c r="A4" s="2"/>
      <c r="B4" s="9" t="s">
        <v>0</v>
      </c>
      <c r="C4" s="9"/>
      <c r="D4" s="10"/>
      <c r="E4" s="10"/>
      <c r="F4" s="10"/>
      <c r="G4" s="10"/>
      <c r="H4" s="12"/>
      <c r="I4" s="12"/>
      <c r="J4" s="11"/>
      <c r="K4" s="12"/>
      <c r="L4" s="12"/>
      <c r="M4" s="11"/>
      <c r="N4" s="14"/>
      <c r="O4" s="14"/>
      <c r="P4" s="14"/>
      <c r="Q4" s="14"/>
      <c r="R4" s="8"/>
      <c r="S4" s="8"/>
      <c r="T4" s="10"/>
      <c r="U4" s="10"/>
      <c r="V4" s="10"/>
      <c r="W4" s="8"/>
      <c r="X4" s="8"/>
      <c r="Y4" s="8"/>
      <c r="Z4" s="8"/>
      <c r="AA4" s="8"/>
      <c r="AB4" s="8"/>
      <c r="AC4" s="8"/>
      <c r="AD4" s="8"/>
      <c r="AE4" s="8"/>
    </row>
    <row r="5" spans="1:31" x14ac:dyDescent="0.25">
      <c r="A5" s="2"/>
      <c r="B5" s="9"/>
      <c r="C5" s="9" t="s">
        <v>6</v>
      </c>
      <c r="D5" s="10"/>
      <c r="E5" s="10">
        <f>5104/(5104+24287)</f>
        <v>0.17365860297369942</v>
      </c>
      <c r="F5" s="10">
        <f>4185/(4185+22188)</f>
        <v>0.15868501876919577</v>
      </c>
      <c r="G5" s="10">
        <f>3706/(3706+21809)</f>
        <v>0.14524789339604155</v>
      </c>
      <c r="H5" s="13">
        <v>1975</v>
      </c>
      <c r="I5" s="12">
        <f>H5+27078</f>
        <v>29053</v>
      </c>
      <c r="J5" s="11">
        <f t="shared" ref="J5:J12" si="0">H5/I5</f>
        <v>6.7979210408563653E-2</v>
      </c>
      <c r="K5" s="12">
        <v>642</v>
      </c>
      <c r="L5" s="12">
        <f>SQRT(SUMSQ(K5,2915))</f>
        <v>2984.859963214355</v>
      </c>
      <c r="M5" s="11">
        <f t="shared" ref="M5:M15" si="1">SQRT(K5^2-(J5^2*L5^2))/I5</f>
        <v>2.0964832104064121E-2</v>
      </c>
      <c r="N5" s="14">
        <f t="shared" ref="N5:N15" si="2">M5/1.645</f>
        <v>1.274457878666512E-2</v>
      </c>
      <c r="O5" s="15">
        <f t="shared" ref="O5:O15" si="3">N5/J5</f>
        <v>0.18747759366530722</v>
      </c>
      <c r="P5" s="14">
        <f t="shared" ref="P5:P15" si="4">J5+M5</f>
        <v>8.8944042512627774E-2</v>
      </c>
      <c r="Q5" s="14">
        <f t="shared" ref="Q5:Q15" si="5">J5-M5</f>
        <v>4.7014378304499532E-2</v>
      </c>
      <c r="R5" s="8"/>
      <c r="S5" s="8"/>
      <c r="T5" s="10">
        <v>0.1618548149733765</v>
      </c>
      <c r="U5" s="10">
        <v>0.19092818219509877</v>
      </c>
      <c r="V5" s="10">
        <v>0.13278144775165424</v>
      </c>
      <c r="W5" s="8"/>
      <c r="X5" s="8"/>
      <c r="Y5" s="8"/>
      <c r="Z5" s="8"/>
      <c r="AA5" s="8"/>
      <c r="AB5" s="8"/>
      <c r="AC5" s="8"/>
      <c r="AD5" s="8"/>
      <c r="AE5" s="8"/>
    </row>
    <row r="6" spans="1:31" x14ac:dyDescent="0.25">
      <c r="A6" s="2"/>
      <c r="B6" s="9"/>
      <c r="C6" s="9" t="s">
        <v>7</v>
      </c>
      <c r="D6" s="10"/>
      <c r="E6" s="10">
        <f>38630/(38630+511129)</f>
        <v>7.0267153425410039E-2</v>
      </c>
      <c r="F6" s="10">
        <f>41634/(41634+490667)</f>
        <v>7.8215145190409188E-2</v>
      </c>
      <c r="G6" s="10">
        <f>43343/(43343+511187)</f>
        <v>7.8161686473229589E-2</v>
      </c>
      <c r="H6" s="13">
        <v>23383</v>
      </c>
      <c r="I6" s="12">
        <f>H6+616193</f>
        <v>639576</v>
      </c>
      <c r="J6" s="11">
        <f t="shared" si="0"/>
        <v>3.656015860507586E-2</v>
      </c>
      <c r="K6" s="12">
        <v>3470</v>
      </c>
      <c r="L6" s="12">
        <f>SQRT(SUMSQ(K6,8182))</f>
        <v>8887.4081711149065</v>
      </c>
      <c r="M6" s="11">
        <f t="shared" si="1"/>
        <v>5.4016313688041934E-3</v>
      </c>
      <c r="N6" s="14">
        <f t="shared" si="2"/>
        <v>3.2836664855952543E-3</v>
      </c>
      <c r="O6" s="14">
        <f t="shared" si="3"/>
        <v>8.9815433271653367E-2</v>
      </c>
      <c r="P6" s="14">
        <f t="shared" si="4"/>
        <v>4.1961789973880052E-2</v>
      </c>
      <c r="Q6" s="14">
        <f t="shared" si="5"/>
        <v>3.1158527236271667E-2</v>
      </c>
      <c r="R6" s="8"/>
      <c r="S6" s="8"/>
      <c r="T6" s="10">
        <v>5.379517421862548E-2</v>
      </c>
      <c r="U6" s="10">
        <v>5.8562940161913275E-2</v>
      </c>
      <c r="V6" s="10">
        <v>4.9027408275337685E-2</v>
      </c>
      <c r="W6" s="8"/>
      <c r="X6" s="8"/>
      <c r="Y6" s="8"/>
      <c r="Z6" s="8"/>
      <c r="AA6" s="8"/>
      <c r="AB6" s="8"/>
      <c r="AC6" s="8"/>
      <c r="AD6" s="8"/>
      <c r="AE6" s="8"/>
    </row>
    <row r="7" spans="1:31" x14ac:dyDescent="0.25">
      <c r="A7" s="2"/>
      <c r="B7" s="9" t="s">
        <v>1</v>
      </c>
      <c r="C7" s="9"/>
      <c r="D7" s="10"/>
      <c r="E7" s="10"/>
      <c r="F7" s="10"/>
      <c r="G7" s="10"/>
      <c r="H7" s="12"/>
      <c r="I7" s="12"/>
      <c r="J7" s="11"/>
      <c r="K7" s="12"/>
      <c r="L7" s="12"/>
      <c r="M7" s="11"/>
      <c r="N7" s="14"/>
      <c r="O7" s="14"/>
      <c r="P7" s="14"/>
      <c r="Q7" s="14"/>
      <c r="R7" s="8"/>
      <c r="S7" s="8"/>
      <c r="T7" s="10"/>
      <c r="U7" s="10"/>
      <c r="V7" s="10"/>
      <c r="W7" s="8"/>
      <c r="X7" s="8"/>
      <c r="Y7" s="8"/>
      <c r="Z7" s="8"/>
      <c r="AA7" s="8"/>
      <c r="AB7" s="8"/>
      <c r="AC7" s="8"/>
      <c r="AD7" s="8"/>
      <c r="AE7" s="8"/>
    </row>
    <row r="8" spans="1:31" x14ac:dyDescent="0.25">
      <c r="A8" s="2"/>
      <c r="B8" s="9"/>
      <c r="C8" s="9" t="s">
        <v>6</v>
      </c>
      <c r="D8" s="10"/>
      <c r="E8" s="10">
        <f>8320/(8320+45844)</f>
        <v>0.15360756221844768</v>
      </c>
      <c r="F8" s="10">
        <f>7283/(7283+36089)</f>
        <v>0.16791939500138339</v>
      </c>
      <c r="G8" s="10">
        <f>8496/(8496+41695)</f>
        <v>0.16927337570480763</v>
      </c>
      <c r="H8" s="13">
        <v>5058</v>
      </c>
      <c r="I8" s="12">
        <f>H8+46668</f>
        <v>51726</v>
      </c>
      <c r="J8" s="11">
        <f t="shared" si="0"/>
        <v>9.7784479758728685E-2</v>
      </c>
      <c r="K8" s="12">
        <v>1651</v>
      </c>
      <c r="L8" s="12">
        <f>SQRT(SUMSQ(K8,4745))</f>
        <v>5024.0248805116398</v>
      </c>
      <c r="M8" s="11">
        <f t="shared" si="1"/>
        <v>3.0472389501982902E-2</v>
      </c>
      <c r="N8" s="14">
        <f t="shared" si="2"/>
        <v>1.8524248937375625E-2</v>
      </c>
      <c r="O8" s="17">
        <f t="shared" si="3"/>
        <v>0.18943956119705252</v>
      </c>
      <c r="P8" s="14">
        <f t="shared" si="4"/>
        <v>0.12825686926071159</v>
      </c>
      <c r="Q8" s="14">
        <f t="shared" si="5"/>
        <v>6.7312090256745782E-2</v>
      </c>
      <c r="R8" s="8"/>
      <c r="S8" s="8"/>
      <c r="T8" s="10">
        <v>0.13831927374773892</v>
      </c>
      <c r="U8" s="10">
        <v>0.16200881713201531</v>
      </c>
      <c r="V8" s="10">
        <v>0.11462973036346252</v>
      </c>
      <c r="W8" s="8"/>
      <c r="X8" s="8"/>
      <c r="Y8" s="8"/>
      <c r="Z8" s="8"/>
      <c r="AA8" s="8"/>
      <c r="AB8" s="8"/>
      <c r="AC8" s="8"/>
      <c r="AD8" s="8"/>
      <c r="AE8" s="8"/>
    </row>
    <row r="9" spans="1:31" x14ac:dyDescent="0.25">
      <c r="A9" s="2"/>
      <c r="B9" s="9"/>
      <c r="C9" s="9" t="s">
        <v>7</v>
      </c>
      <c r="D9" s="10"/>
      <c r="E9" s="10">
        <f>64260/(64260+800466)</f>
        <v>7.4312556809902786E-2</v>
      </c>
      <c r="F9" s="10">
        <f>66247/(66247+793879)</f>
        <v>7.7020111006991993E-2</v>
      </c>
      <c r="G9" s="10">
        <f>67825/(67825+818756)</f>
        <v>7.6501752236964246E-2</v>
      </c>
      <c r="H9" s="13">
        <v>41827</v>
      </c>
      <c r="I9" s="12">
        <f>H9+997676</f>
        <v>1039503</v>
      </c>
      <c r="J9" s="11">
        <f t="shared" si="0"/>
        <v>4.0237498112078558E-2</v>
      </c>
      <c r="K9" s="12">
        <v>4447</v>
      </c>
      <c r="L9" s="12">
        <f>SQRT(SUMSQ(K9,10526))</f>
        <v>11426.831800634855</v>
      </c>
      <c r="M9" s="11">
        <f t="shared" si="1"/>
        <v>4.2550784648933623E-3</v>
      </c>
      <c r="N9" s="14">
        <f t="shared" si="2"/>
        <v>2.5866738388409497E-3</v>
      </c>
      <c r="O9" s="14">
        <f t="shared" si="3"/>
        <v>6.4285155892047807E-2</v>
      </c>
      <c r="P9" s="14">
        <f t="shared" si="4"/>
        <v>4.4492576576971921E-2</v>
      </c>
      <c r="Q9" s="14">
        <f t="shared" si="5"/>
        <v>3.5982419647185196E-2</v>
      </c>
      <c r="R9" s="8"/>
      <c r="S9" s="8"/>
      <c r="T9" s="10">
        <v>5.7087623908387938E-2</v>
      </c>
      <c r="U9" s="10">
        <v>6.1299553533479455E-2</v>
      </c>
      <c r="V9" s="10">
        <v>5.2875694283296422E-2</v>
      </c>
      <c r="W9" s="8"/>
      <c r="X9" s="8"/>
      <c r="Y9" s="8"/>
      <c r="Z9" s="8"/>
      <c r="AA9" s="8"/>
      <c r="AB9" s="8"/>
      <c r="AC9" s="8"/>
      <c r="AD9" s="8"/>
      <c r="AE9" s="8"/>
    </row>
    <row r="10" spans="1:31" x14ac:dyDescent="0.25">
      <c r="A10" s="2"/>
      <c r="B10" s="9" t="s">
        <v>2</v>
      </c>
      <c r="C10" s="9"/>
      <c r="D10" s="10"/>
      <c r="E10" s="10"/>
      <c r="F10" s="10"/>
      <c r="G10" s="10"/>
      <c r="H10" s="12"/>
      <c r="I10" s="12"/>
      <c r="J10" s="11"/>
      <c r="K10" s="12"/>
      <c r="L10" s="12"/>
      <c r="M10" s="11"/>
      <c r="N10" s="14"/>
      <c r="O10" s="14"/>
      <c r="P10" s="14"/>
      <c r="Q10" s="14"/>
      <c r="R10" s="8"/>
      <c r="S10" s="8"/>
      <c r="T10" s="10"/>
      <c r="U10" s="10"/>
      <c r="V10" s="10"/>
      <c r="W10" s="8"/>
      <c r="X10" s="8"/>
      <c r="Y10" s="8"/>
      <c r="Z10" s="8"/>
      <c r="AA10" s="8"/>
      <c r="AB10" s="8"/>
      <c r="AC10" s="8"/>
      <c r="AD10" s="8"/>
      <c r="AE10" s="8"/>
    </row>
    <row r="11" spans="1:31" x14ac:dyDescent="0.25">
      <c r="A11" s="2"/>
      <c r="B11" s="9"/>
      <c r="C11" s="9" t="s">
        <v>6</v>
      </c>
      <c r="D11" s="10"/>
      <c r="E11" s="10">
        <f>97101/(97101+583091)</f>
        <v>0.14275528086187431</v>
      </c>
      <c r="F11" s="10">
        <f>109503/(109503+580960)</f>
        <v>0.15859358140841726</v>
      </c>
      <c r="G11" s="10">
        <f>116050/(116050+580472)</f>
        <v>0.16661354558793548</v>
      </c>
      <c r="H11" s="13">
        <v>85045</v>
      </c>
      <c r="I11" s="12">
        <f>H11+644181</f>
        <v>729226</v>
      </c>
      <c r="J11" s="11">
        <f t="shared" si="0"/>
        <v>0.11662365302389109</v>
      </c>
      <c r="K11" s="12">
        <v>5222</v>
      </c>
      <c r="L11" s="12">
        <f>SQRT(SUMSQ(K11,16169))</f>
        <v>16991.346179746914</v>
      </c>
      <c r="M11" s="11">
        <f t="shared" si="1"/>
        <v>6.6254018546598866E-3</v>
      </c>
      <c r="N11" s="14">
        <f t="shared" si="2"/>
        <v>4.0275999116473477E-3</v>
      </c>
      <c r="O11" s="14">
        <f t="shared" si="3"/>
        <v>3.4535017616214338E-2</v>
      </c>
      <c r="P11" s="14">
        <f t="shared" si="4"/>
        <v>0.12324905487855098</v>
      </c>
      <c r="Q11" s="14">
        <f t="shared" si="5"/>
        <v>0.1099982511692312</v>
      </c>
      <c r="R11" s="8"/>
      <c r="S11" s="8"/>
      <c r="T11" s="10">
        <v>0.14350753189601437</v>
      </c>
      <c r="U11" s="10">
        <v>0.15070451284084194</v>
      </c>
      <c r="V11" s="10">
        <v>0.1363105509511868</v>
      </c>
      <c r="W11" s="8"/>
      <c r="X11" s="8"/>
      <c r="Y11" s="8"/>
      <c r="Z11" s="8"/>
      <c r="AA11" s="8"/>
      <c r="AB11" s="8"/>
      <c r="AC11" s="8"/>
      <c r="AD11" s="8"/>
      <c r="AE11" s="8"/>
    </row>
    <row r="12" spans="1:31" x14ac:dyDescent="0.25">
      <c r="A12" s="2"/>
      <c r="B12" s="9"/>
      <c r="C12" s="9" t="s">
        <v>7</v>
      </c>
      <c r="D12" s="10"/>
      <c r="E12" s="10">
        <f>833374/(833374+10093432)</f>
        <v>7.6268765090182808E-2</v>
      </c>
      <c r="F12" s="10">
        <f>906693/(906693+10164775)</f>
        <v>8.1894559962599353E-2</v>
      </c>
      <c r="G12" s="10">
        <f>872178/(872178+10326827)</f>
        <v>7.7879954513816185E-2</v>
      </c>
      <c r="H12" s="13">
        <v>621020</v>
      </c>
      <c r="I12" s="12">
        <f>H12+11526552</f>
        <v>12147572</v>
      </c>
      <c r="J12" s="11">
        <f t="shared" si="0"/>
        <v>5.1122973381018032E-2</v>
      </c>
      <c r="K12" s="12">
        <v>16025</v>
      </c>
      <c r="L12" s="12">
        <f>SQRT(SUMSQ(K12,31680))</f>
        <v>35502.436888191209</v>
      </c>
      <c r="M12" s="11">
        <f t="shared" si="1"/>
        <v>1.310705170961777E-3</v>
      </c>
      <c r="N12" s="14">
        <f t="shared" si="2"/>
        <v>7.9678125894332944E-4</v>
      </c>
      <c r="O12" s="14">
        <f t="shared" si="3"/>
        <v>1.5585581319868504E-2</v>
      </c>
      <c r="P12" s="14">
        <f t="shared" si="4"/>
        <v>5.2433678551979807E-2</v>
      </c>
      <c r="Q12" s="14">
        <f t="shared" si="5"/>
        <v>4.9812268210056257E-2</v>
      </c>
      <c r="R12" s="8"/>
      <c r="S12" s="8"/>
      <c r="T12" s="10">
        <v>6.4856317595275062E-2</v>
      </c>
      <c r="U12" s="10">
        <v>6.6159651055785806E-2</v>
      </c>
      <c r="V12" s="10">
        <v>6.3552984134764318E-2</v>
      </c>
      <c r="W12" s="8"/>
      <c r="X12" s="8"/>
      <c r="Y12" s="8"/>
      <c r="Z12" s="8"/>
      <c r="AA12" s="8"/>
      <c r="AB12" s="8"/>
      <c r="AC12" s="8"/>
      <c r="AD12" s="8"/>
      <c r="AE12" s="8"/>
    </row>
    <row r="13" spans="1:31" x14ac:dyDescent="0.25">
      <c r="A13" s="2"/>
      <c r="B13" s="9" t="s">
        <v>3</v>
      </c>
      <c r="C13" s="9"/>
      <c r="D13" s="10"/>
      <c r="E13" s="10"/>
      <c r="F13" s="10"/>
      <c r="G13" s="10"/>
      <c r="H13" s="12"/>
      <c r="I13" s="12"/>
      <c r="J13" s="11"/>
      <c r="K13" s="12"/>
      <c r="L13" s="12"/>
      <c r="M13" s="11"/>
      <c r="N13" s="14"/>
      <c r="O13" s="14"/>
      <c r="P13" s="14"/>
      <c r="Q13" s="14"/>
      <c r="R13" s="8"/>
      <c r="S13" s="8"/>
      <c r="T13" s="10"/>
      <c r="U13" s="10"/>
      <c r="V13" s="10"/>
      <c r="W13" s="8"/>
      <c r="X13" s="8"/>
      <c r="Y13" s="8"/>
      <c r="Z13" s="8"/>
      <c r="AA13" s="8"/>
      <c r="AB13" s="8"/>
      <c r="AC13" s="8"/>
      <c r="AD13" s="8"/>
      <c r="AE13" s="8"/>
    </row>
    <row r="14" spans="1:31" x14ac:dyDescent="0.25">
      <c r="A14" s="3"/>
      <c r="B14" s="7"/>
      <c r="C14" s="9" t="s">
        <v>6</v>
      </c>
      <c r="D14" s="7"/>
      <c r="E14" s="10">
        <f>1479136/(1479136+6723694)</f>
        <v>0.18032020656285697</v>
      </c>
      <c r="F14" s="10">
        <f>1616259/(1616259+6368644)</f>
        <v>0.20241435619192868</v>
      </c>
      <c r="G14" s="10">
        <f>1611611/(1611611+6424956)</f>
        <v>0.2005347556985464</v>
      </c>
      <c r="H14" s="12">
        <v>1089176</v>
      </c>
      <c r="I14" s="12">
        <f>H14+7461001</f>
        <v>8550177</v>
      </c>
      <c r="J14" s="11">
        <f>H14/I14</f>
        <v>0.12738636872663572</v>
      </c>
      <c r="K14" s="12">
        <v>18722</v>
      </c>
      <c r="L14" s="12">
        <f>SQRT(SUMSQ(K14,40592))</f>
        <v>44701.496037604826</v>
      </c>
      <c r="M14" s="11">
        <f t="shared" si="1"/>
        <v>2.0859227428002814E-3</v>
      </c>
      <c r="N14" s="14">
        <f t="shared" si="2"/>
        <v>1.2680381415199279E-3</v>
      </c>
      <c r="O14" s="14">
        <f t="shared" si="3"/>
        <v>9.9542686882068947E-3</v>
      </c>
      <c r="P14" s="14">
        <f t="shared" si="4"/>
        <v>0.12947229146943601</v>
      </c>
      <c r="Q14" s="14">
        <f t="shared" si="5"/>
        <v>0.12530044598383544</v>
      </c>
      <c r="R14" s="8"/>
      <c r="S14" s="8"/>
      <c r="T14" s="10">
        <v>0.17334763491212207</v>
      </c>
      <c r="U14" s="10">
        <v>0.17600056281802931</v>
      </c>
      <c r="V14" s="10">
        <v>0.17069470700621484</v>
      </c>
      <c r="W14" s="8"/>
      <c r="X14" s="8"/>
      <c r="Y14" s="8"/>
      <c r="Z14" s="8"/>
      <c r="AA14" s="8"/>
      <c r="AB14" s="8"/>
      <c r="AC14" s="8"/>
      <c r="AD14" s="8"/>
      <c r="AE14" s="8"/>
    </row>
    <row r="15" spans="1:31" x14ac:dyDescent="0.25">
      <c r="A15" s="3"/>
      <c r="B15" s="7"/>
      <c r="C15" s="9" t="s">
        <v>7</v>
      </c>
      <c r="D15" s="7"/>
      <c r="E15" s="10">
        <f>12881913/(12881913+126478646)</f>
        <v>9.2435859129985268E-2</v>
      </c>
      <c r="F15" s="10">
        <f>14066412/(14066412+125358735)</f>
        <v>0.10088862950956759</v>
      </c>
      <c r="G15" s="10">
        <f>13290077/(13290077+126475529)</f>
        <v>9.5088322373102288E-2</v>
      </c>
      <c r="H15" s="12">
        <v>7504195</v>
      </c>
      <c r="I15" s="12">
        <f>H15+135089199</f>
        <v>142593394</v>
      </c>
      <c r="J15" s="11">
        <f>H15/I15</f>
        <v>5.2626526303175027E-2</v>
      </c>
      <c r="K15" s="12">
        <v>48875</v>
      </c>
      <c r="L15" s="12">
        <f>SQRT(SUMSQ(K15,108632))</f>
        <v>119120.43086305556</v>
      </c>
      <c r="M15" s="11">
        <f t="shared" si="1"/>
        <v>3.3992666256234234E-4</v>
      </c>
      <c r="N15" s="14">
        <f t="shared" si="2"/>
        <v>2.0664234806221419E-4</v>
      </c>
      <c r="O15" s="14">
        <f t="shared" si="3"/>
        <v>3.9265815659535021E-3</v>
      </c>
      <c r="P15" s="14">
        <f t="shared" si="4"/>
        <v>5.2966452965737369E-2</v>
      </c>
      <c r="Q15" s="14">
        <f t="shared" si="5"/>
        <v>5.2286599640612684E-2</v>
      </c>
      <c r="R15" s="8"/>
      <c r="S15" s="8"/>
      <c r="T15" s="10">
        <v>7.7892433045359172E-2</v>
      </c>
      <c r="U15" s="10">
        <v>7.8298839405919488E-2</v>
      </c>
      <c r="V15" s="10">
        <v>7.7486026684798856E-2</v>
      </c>
      <c r="W15" s="8"/>
      <c r="X15" s="8"/>
      <c r="Y15" s="8"/>
      <c r="Z15" s="8"/>
      <c r="AA15" s="8"/>
      <c r="AB15" s="8"/>
      <c r="AC15" s="8"/>
      <c r="AD15" s="8"/>
      <c r="AE15" s="8"/>
    </row>
    <row r="16" spans="1:31" ht="88.5" customHeight="1" x14ac:dyDescent="0.25">
      <c r="A16" s="1" t="s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spans="1:31" x14ac:dyDescent="0.25">
      <c r="A17" s="3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spans="1:3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7"/>
      <c r="M18" s="7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x14ac:dyDescent="0.25">
      <c r="A19" s="2" t="s">
        <v>4</v>
      </c>
      <c r="B19" s="7"/>
      <c r="C19" s="7"/>
      <c r="D19" s="7"/>
      <c r="E19" s="8"/>
      <c r="F19" s="8"/>
      <c r="G19" s="8"/>
      <c r="I19" t="s">
        <v>6</v>
      </c>
      <c r="J19" t="s">
        <v>7</v>
      </c>
      <c r="K19" s="8"/>
      <c r="L19" s="7"/>
      <c r="M19" s="7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x14ac:dyDescent="0.25">
      <c r="A20" s="3"/>
      <c r="B20" s="7" t="s">
        <v>9</v>
      </c>
      <c r="C20" s="7"/>
      <c r="D20" s="7"/>
      <c r="E20" s="8"/>
      <c r="F20" s="8"/>
      <c r="G20" s="8"/>
      <c r="H20" t="s">
        <v>0</v>
      </c>
      <c r="I20" s="5">
        <f>J5</f>
        <v>6.7979210408563653E-2</v>
      </c>
      <c r="J20" s="5">
        <f>J6</f>
        <v>3.656015860507586E-2</v>
      </c>
      <c r="K20" s="8"/>
      <c r="L20" s="7"/>
      <c r="M20" s="7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x14ac:dyDescent="0.25">
      <c r="A21" s="3"/>
      <c r="B21" s="7"/>
      <c r="C21" s="7" t="s">
        <v>10</v>
      </c>
      <c r="D21" s="7"/>
      <c r="E21" s="8"/>
      <c r="F21" s="8"/>
      <c r="G21" s="8"/>
      <c r="H21" t="s">
        <v>22</v>
      </c>
      <c r="I21" s="5">
        <f>J8</f>
        <v>9.7784479758728685E-2</v>
      </c>
      <c r="J21" s="5">
        <f>J9</f>
        <v>4.0237498112078558E-2</v>
      </c>
      <c r="K21" s="8"/>
      <c r="L21" s="7"/>
      <c r="M21" s="7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x14ac:dyDescent="0.25">
      <c r="A22" s="3"/>
      <c r="B22" s="7"/>
      <c r="C22" s="7"/>
      <c r="D22" s="7"/>
      <c r="E22" s="8"/>
      <c r="F22" s="8"/>
      <c r="G22" s="8"/>
      <c r="H22" t="s">
        <v>2</v>
      </c>
      <c r="I22" s="5">
        <f>J11</f>
        <v>0.11662365302389109</v>
      </c>
      <c r="J22" s="5">
        <f>J12</f>
        <v>5.1122973381018032E-2</v>
      </c>
      <c r="K22" s="8"/>
      <c r="L22" s="7"/>
      <c r="M22" s="7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spans="1:31" x14ac:dyDescent="0.25">
      <c r="B23" s="8"/>
      <c r="C23" s="8"/>
      <c r="D23" s="8"/>
      <c r="E23" s="8"/>
      <c r="F23" s="8"/>
      <c r="G23" s="8"/>
      <c r="H23" t="s">
        <v>3</v>
      </c>
      <c r="I23" s="5">
        <f>J14</f>
        <v>0.12738636872663572</v>
      </c>
      <c r="J23" s="5">
        <f>J15</f>
        <v>5.2626526303175027E-2</v>
      </c>
      <c r="K23" s="8"/>
      <c r="L23" s="7"/>
      <c r="M23" s="7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spans="1:3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spans="1:31" x14ac:dyDescent="0.2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1:31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</row>
    <row r="28" spans="1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spans="1:3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spans="1:3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spans="1:3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spans="1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spans="2:3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spans="2:3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spans="2:3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spans="2:3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</row>
    <row r="37" spans="2:3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</row>
    <row r="38" spans="2:3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</row>
    <row r="39" spans="2:3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</row>
    <row r="40" spans="2:3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</row>
    <row r="41" spans="2:3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</row>
    <row r="42" spans="2:3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</row>
    <row r="43" spans="2:3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</row>
    <row r="44" spans="2:3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</row>
    <row r="45" spans="2:3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spans="2:3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spans="2:3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</row>
    <row r="48" spans="2:3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</row>
    <row r="49" spans="2:3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spans="2:3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</row>
    <row r="51" spans="2:3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</row>
    <row r="52" spans="2:3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</row>
    <row r="53" spans="2:3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</row>
    <row r="54" spans="2:3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</row>
    <row r="55" spans="2:3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</row>
    <row r="56" spans="2:3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</row>
    <row r="57" spans="2:3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</row>
    <row r="58" spans="2:3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</row>
    <row r="59" spans="2:3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</row>
    <row r="60" spans="2:3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</row>
    <row r="61" spans="2:31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</row>
    <row r="62" spans="2:31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</row>
    <row r="63" spans="2:31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</row>
    <row r="64" spans="2:3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</row>
    <row r="65" spans="2:31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</row>
    <row r="66" spans="2:31" x14ac:dyDescent="0.2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</row>
    <row r="67" spans="2:31" x14ac:dyDescent="0.2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</row>
    <row r="68" spans="2:31" x14ac:dyDescent="0.2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</row>
    <row r="69" spans="2:31" x14ac:dyDescent="0.2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</row>
    <row r="70" spans="2:31" x14ac:dyDescent="0.2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</row>
    <row r="71" spans="2:31" x14ac:dyDescent="0.2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</row>
    <row r="72" spans="2:31" x14ac:dyDescent="0.2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</row>
    <row r="73" spans="2:31" x14ac:dyDescent="0.2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</row>
    <row r="74" spans="2:31" x14ac:dyDescent="0.2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</row>
    <row r="75" spans="2:31" x14ac:dyDescent="0.2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</row>
    <row r="76" spans="2:31" x14ac:dyDescent="0.2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</row>
    <row r="77" spans="2:31" x14ac:dyDescent="0.2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</row>
    <row r="78" spans="2:31" x14ac:dyDescent="0.2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</row>
    <row r="79" spans="2:31" x14ac:dyDescent="0.2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</row>
    <row r="80" spans="2:31" x14ac:dyDescent="0.2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</row>
    <row r="81" spans="2:31" x14ac:dyDescent="0.2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</row>
    <row r="82" spans="2:31" x14ac:dyDescent="0.2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</row>
    <row r="83" spans="2:31" x14ac:dyDescent="0.2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</row>
    <row r="84" spans="2:31" x14ac:dyDescent="0.2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</row>
    <row r="85" spans="2:31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</row>
    <row r="86" spans="2:31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2:31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spans="2:31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2:31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spans="2:31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2:31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spans="2:31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spans="2:31" x14ac:dyDescent="0.2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spans="2:31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spans="2:31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spans="2:31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spans="2:31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spans="2:31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spans="2:31" x14ac:dyDescent="0.2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spans="2:31" x14ac:dyDescent="0.2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spans="2:31" x14ac:dyDescent="0.2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spans="2:3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spans="2:31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spans="2:31" x14ac:dyDescent="0.2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spans="2:31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spans="2:31" x14ac:dyDescent="0.2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2:31" x14ac:dyDescent="0.2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spans="2:31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</row>
    <row r="109" spans="2:31" x14ac:dyDescent="0.2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spans="2:31" x14ac:dyDescent="0.2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</row>
    <row r="111" spans="2:31" x14ac:dyDescent="0.2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</row>
    <row r="112" spans="2:31" x14ac:dyDescent="0.25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</row>
    <row r="113" spans="2:31" x14ac:dyDescent="0.2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</row>
    <row r="114" spans="2:31" x14ac:dyDescent="0.2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</row>
    <row r="115" spans="2:31" x14ac:dyDescent="0.2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</row>
    <row r="116" spans="2:31" x14ac:dyDescent="0.2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spans="2:31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spans="2:31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spans="2:31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0" spans="2:31" x14ac:dyDescent="0.2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spans="2:31" x14ac:dyDescent="0.2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</row>
    <row r="122" spans="2:31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</row>
    <row r="123" spans="2:31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spans="2:31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spans="2:31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spans="2:31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spans="2:31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spans="2:31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spans="2:31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spans="2:31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spans="2:31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spans="2:31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spans="2:31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pans="2:31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spans="2:31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spans="2:31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2:31" x14ac:dyDescent="0.2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spans="2:31" x14ac:dyDescent="0.2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spans="2:31" x14ac:dyDescent="0.25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spans="2:31" x14ac:dyDescent="0.25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spans="2:31" x14ac:dyDescent="0.25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spans="2:31" x14ac:dyDescent="0.2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spans="2:31" x14ac:dyDescent="0.2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spans="2:31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spans="2:31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spans="2:31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spans="2:31" x14ac:dyDescent="0.2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spans="2:31" x14ac:dyDescent="0.2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spans="2:31" x14ac:dyDescent="0.2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spans="2:31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spans="2:31" x14ac:dyDescent="0.25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spans="2:31" x14ac:dyDescent="0.25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spans="2:31" x14ac:dyDescent="0.2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spans="2:31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spans="2:31" x14ac:dyDescent="0.25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spans="2:31" x14ac:dyDescent="0.25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spans="2:31" x14ac:dyDescent="0.25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spans="2:31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spans="2:31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</sheetData>
  <pageMargins left="0.7" right="0.7" top="0.75" bottom="0.75" header="0.3" footer="0.3"/>
  <pageSetup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8"/>
  <sheetViews>
    <sheetView zoomScale="68" zoomScaleNormal="68" workbookViewId="0">
      <selection activeCell="A3" sqref="A3:C7"/>
    </sheetView>
  </sheetViews>
  <sheetFormatPr defaultColWidth="8.85546875" defaultRowHeight="15" x14ac:dyDescent="0.25"/>
  <sheetData>
    <row r="3" spans="1:3" x14ac:dyDescent="0.25">
      <c r="B3" t="s">
        <v>6</v>
      </c>
      <c r="C3" t="s">
        <v>7</v>
      </c>
    </row>
    <row r="4" spans="1:3" x14ac:dyDescent="0.25">
      <c r="A4" t="s">
        <v>0</v>
      </c>
      <c r="B4" s="5">
        <v>6.7979210408563653E-2</v>
      </c>
      <c r="C4" s="5">
        <v>3.656015860507586E-2</v>
      </c>
    </row>
    <row r="5" spans="1:3" x14ac:dyDescent="0.25">
      <c r="A5" t="s">
        <v>22</v>
      </c>
      <c r="B5" s="5">
        <v>9.7784479758728685E-2</v>
      </c>
      <c r="C5" s="5">
        <v>4.0237498112078558E-2</v>
      </c>
    </row>
    <row r="6" spans="1:3" x14ac:dyDescent="0.25">
      <c r="A6" t="s">
        <v>2</v>
      </c>
      <c r="B6" s="5">
        <v>0.11662365302389109</v>
      </c>
      <c r="C6" s="5">
        <v>5.1122973381018032E-2</v>
      </c>
    </row>
    <row r="7" spans="1:3" x14ac:dyDescent="0.25">
      <c r="A7" t="s">
        <v>3</v>
      </c>
      <c r="B7" s="5">
        <v>0.12738636872663572</v>
      </c>
      <c r="C7" s="5">
        <v>5.2626526303175027E-2</v>
      </c>
    </row>
    <row r="8" spans="1:3" x14ac:dyDescent="0.25">
      <c r="B8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MOE</vt:lpstr>
      <vt:lpstr>2022 MOE</vt:lpstr>
      <vt:lpstr>2021 MOE</vt:lpstr>
      <vt:lpstr>2019 MOE</vt:lpstr>
      <vt:lpstr>2018 MOE</vt:lpstr>
      <vt:lpstr>2017 MOE</vt:lpstr>
      <vt:lpstr>2016 MOE</vt:lpstr>
      <vt:lpstr>Sheet3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2012-07-02T16:59:26Z</dcterms:created>
  <dcterms:modified xsi:type="dcterms:W3CDTF">2025-09-25T16:17:46Z</dcterms:modified>
</cp:coreProperties>
</file>